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24" activeTab="28"/>
  </bookViews>
  <sheets>
    <sheet name="Maternal Health (11 HFs)" sheetId="1" r:id="rId1"/>
    <sheet name="Maternal Health (11 NHFs)" sheetId="2" r:id="rId2"/>
    <sheet name="Maternal Health (7 NEs)" sheetId="3" r:id="rId3"/>
    <sheet name="Maternal Health (7 NHF UTs)" sheetId="4" r:id="rId4"/>
    <sheet name="Child Health (11 HFs)" sheetId="5" r:id="rId5"/>
    <sheet name="Child Health (11 NHFs)" sheetId="6" r:id="rId6"/>
    <sheet name="Child Health (7 NEs)" sheetId="7" r:id="rId7"/>
    <sheet name="Child Health (7 NHF UTs)" sheetId="8" r:id="rId8"/>
    <sheet name="Family planning (11 HFs)" sheetId="9" r:id="rId9"/>
    <sheet name="Family planning (11 NHFs)" sheetId="10" r:id="rId10"/>
    <sheet name="Family planning (11 NEs)" sheetId="11" r:id="rId11"/>
    <sheet name="Family planning (11 NHF UTs)" sheetId="12" r:id="rId12"/>
    <sheet name="ARSH (11 HFs)" sheetId="13" r:id="rId13"/>
    <sheet name="ARSH (11 NHFs)" sheetId="14" r:id="rId14"/>
    <sheet name="ARSH (7 NEs )" sheetId="15" r:id="rId15"/>
    <sheet name="ARSH (7 NHF UTs)" sheetId="16" r:id="rId16"/>
    <sheet name="NDCP (11 HFs)" sheetId="17" r:id="rId17"/>
    <sheet name="NDCP (11 NHFs)" sheetId="18" r:id="rId18"/>
    <sheet name="NDCP (7 NEs)" sheetId="19" r:id="rId19"/>
    <sheet name="NDCP (7 NHF UTs)" sheetId="20" r:id="rId20"/>
    <sheet name="Other Programme (11 HFs)" sheetId="21" r:id="rId21"/>
    <sheet name="Other Programme (11 NHFs)" sheetId="22" r:id="rId22"/>
    <sheet name="Other Programme (7 NEs)" sheetId="23" r:id="rId23"/>
    <sheet name="Other Programme (7 NHF UTs)" sheetId="24" r:id="rId24"/>
    <sheet name="NUHM (11 HFs)" sheetId="25" r:id="rId25"/>
    <sheet name="NVBDCP" sheetId="26" state="hidden" r:id="rId26"/>
    <sheet name="NUHM (11 NHFs)" sheetId="27" r:id="rId27"/>
    <sheet name="NUHM (7 NEs)" sheetId="28" r:id="rId28"/>
    <sheet name="NUHM (7 NHF UTs)" sheetId="29" r:id="rId29"/>
  </sheets>
  <externalReferences>
    <externalReference r:id="rId32"/>
    <externalReference r:id="rId33"/>
    <externalReference r:id="rId34"/>
  </externalReferences>
  <definedNames>
    <definedName name="_xlnm.Print_Titles" localSheetId="4">'Child Health (11 HFs)'!$1:$5</definedName>
    <definedName name="_xlnm.Print_Titles" localSheetId="0">'Maternal Health (11 HFs)'!$1:$5</definedName>
    <definedName name="_xlnm.Print_Titles" localSheetId="20">'Other Programme (11 HFs)'!$1:$5</definedName>
  </definedNames>
  <calcPr fullCalcOnLoad="1"/>
</workbook>
</file>

<file path=xl/comments10.xml><?xml version="1.0" encoding="utf-8"?>
<comments xmlns="http://schemas.openxmlformats.org/spreadsheetml/2006/main">
  <authors>
    <author>Author</author>
  </authors>
  <commentList>
    <comment ref="AO21" authorId="0">
      <text>
        <r>
          <rPr>
            <b/>
            <sz val="9"/>
            <rFont val="Tahoma"/>
            <family val="2"/>
          </rPr>
          <t>Combined Budget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AN24" authorId="0">
      <text>
        <r>
          <rPr>
            <sz val="8"/>
            <rFont val="Tahoma"/>
            <family val="2"/>
          </rPr>
          <t>01 ????????????
In pip comments 30 was given.</t>
        </r>
      </text>
    </comment>
    <comment ref="AP24" authorId="0">
      <text>
        <r>
          <rPr>
            <sz val="8"/>
            <rFont val="Tahoma"/>
            <family val="2"/>
          </rPr>
          <t>01 ????????????
In pip comments 30 was given.</t>
        </r>
      </text>
    </comment>
  </commentList>
</comments>
</file>

<file path=xl/comments22.xml><?xml version="1.0" encoding="utf-8"?>
<comments xmlns="http://schemas.openxmlformats.org/spreadsheetml/2006/main">
  <authors>
    <author>Author</author>
  </authors>
  <commentList>
    <comment ref="AN2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1 batch of SPMU staff given in PIP/ROP but no. of partcipants not clear</t>
        </r>
      </text>
    </comment>
    <comment ref="AN2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1 batch of DPMSU but no. of participants not given</t>
        </r>
      </text>
    </comment>
    <comment ref="AN2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8 batch of BPMSU staff 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AN6" authorId="0">
      <text>
        <r>
          <rPr>
            <b/>
            <sz val="12"/>
            <rFont val="Tahoma"/>
            <family val="2"/>
          </rPr>
          <t>Author:</t>
        </r>
        <r>
          <rPr>
            <sz val="12"/>
            <rFont val="Tahoma"/>
            <family val="2"/>
          </rPr>
          <t xml:space="preserve">
not clear about 72 (batch or participants)</t>
        </r>
      </text>
    </comment>
    <comment ref="AN1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not clear about 72 (batch or participants)</t>
        </r>
      </text>
    </comment>
    <comment ref="AP29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SAM TOT</t>
        </r>
      </text>
    </comment>
  </commentList>
</comments>
</file>

<file path=xl/sharedStrings.xml><?xml version="1.0" encoding="utf-8"?>
<sst xmlns="http://schemas.openxmlformats.org/spreadsheetml/2006/main" count="8690" uniqueCount="1457">
  <si>
    <t>Training in ARSH</t>
  </si>
  <si>
    <t>Odisha</t>
  </si>
  <si>
    <t>NAME OF THE 
TRAINING/ 
ACTIVITY</t>
  </si>
  <si>
    <t>CATEGORIES</t>
  </si>
  <si>
    <t>Duration of Training</t>
  </si>
  <si>
    <t>Place of Training</t>
  </si>
  <si>
    <t>Load</t>
  </si>
  <si>
    <t>Achievement</t>
  </si>
  <si>
    <t>ARSH</t>
  </si>
  <si>
    <t>3 days</t>
  </si>
  <si>
    <t>Dist. Level</t>
  </si>
  <si>
    <t>ARSH TOT</t>
  </si>
  <si>
    <t>3 Days</t>
  </si>
  <si>
    <t>State Level</t>
  </si>
  <si>
    <t>Sub Total</t>
  </si>
  <si>
    <t>1 Day</t>
  </si>
  <si>
    <t>Block Level</t>
  </si>
  <si>
    <t>TOTAL</t>
  </si>
  <si>
    <t>Training in Maternal Health</t>
  </si>
  <si>
    <t>Name of the Training/ Activity</t>
  </si>
  <si>
    <t>Categories</t>
  </si>
  <si>
    <t>Place of Training-attach list</t>
  </si>
  <si>
    <t>MO</t>
  </si>
  <si>
    <t>2 Days</t>
  </si>
  <si>
    <t>EmOC</t>
  </si>
  <si>
    <t>BEmOC</t>
  </si>
  <si>
    <t>LSAS (for Mos with 5 yrs of experience)</t>
  </si>
  <si>
    <t>MTP/MVA</t>
  </si>
  <si>
    <t>PPC DHH</t>
  </si>
  <si>
    <t xml:space="preserve">RTI/STI </t>
  </si>
  <si>
    <t>SUB- TOTAL</t>
  </si>
  <si>
    <t>SBA (TOT) Refresher</t>
  </si>
  <si>
    <t xml:space="preserve">SBA </t>
  </si>
  <si>
    <t>SN</t>
  </si>
  <si>
    <t>ANM</t>
  </si>
  <si>
    <t>1 day</t>
  </si>
  <si>
    <t>LT</t>
  </si>
  <si>
    <t>2 days</t>
  </si>
  <si>
    <t>SBA</t>
  </si>
  <si>
    <t>ANM/LHV</t>
  </si>
  <si>
    <t>SBA Refresher</t>
  </si>
  <si>
    <t>3days</t>
  </si>
  <si>
    <t>Training in Child Health</t>
  </si>
  <si>
    <t>Name of the Training /Activity</t>
  </si>
  <si>
    <t xml:space="preserve">FIMNCI </t>
  </si>
  <si>
    <t>11 Days</t>
  </si>
  <si>
    <t>Govt. Medical College</t>
  </si>
  <si>
    <t>FBNC</t>
  </si>
  <si>
    <t>IMMUNIZATION</t>
  </si>
  <si>
    <t>20-25</t>
  </si>
  <si>
    <t>MO/SN</t>
  </si>
  <si>
    <t>NSSK</t>
  </si>
  <si>
    <t>IMMUNIZATION RMIS/HMIS</t>
  </si>
  <si>
    <t xml:space="preserve"> COMPUTER ASSISTANTS</t>
  </si>
  <si>
    <t>State HQ</t>
  </si>
  <si>
    <t>Block Level Data Handlers</t>
  </si>
  <si>
    <t>DTC</t>
  </si>
  <si>
    <t>Immunisation (JE &amp; Measles, HepB)</t>
  </si>
  <si>
    <t>ANM/LHV/MPHW/HA(M&amp;F)/Mid wifes/BEEs |&amp;other staff</t>
  </si>
  <si>
    <t>DHH</t>
  </si>
  <si>
    <t>IMNCI</t>
  </si>
  <si>
    <t>8 Days</t>
  </si>
  <si>
    <t>IYCF</t>
  </si>
  <si>
    <t>4Days</t>
  </si>
  <si>
    <t>State level</t>
  </si>
  <si>
    <t>Training in Family Planning</t>
  </si>
  <si>
    <t xml:space="preserve">Minilap </t>
  </si>
  <si>
    <t>MC/DH/FRU with case load-attach list</t>
  </si>
  <si>
    <t xml:space="preserve">NSV </t>
  </si>
  <si>
    <t xml:space="preserve">5 days </t>
  </si>
  <si>
    <t>DH/CHC//SDH (District level)</t>
  </si>
  <si>
    <t>5 days</t>
  </si>
  <si>
    <t>Medical College</t>
  </si>
  <si>
    <t>6 days</t>
  </si>
  <si>
    <t xml:space="preserve">Laproscopic Sterlization-team </t>
  </si>
  <si>
    <t>FP counsellor</t>
  </si>
  <si>
    <t xml:space="preserve">IUCD </t>
  </si>
  <si>
    <t xml:space="preserve">DH/CHC/PHC/ANMTC/DTC(Block level) </t>
  </si>
  <si>
    <t>District level</t>
  </si>
  <si>
    <t>PPIUCD</t>
  </si>
  <si>
    <t>IUCD</t>
  </si>
  <si>
    <t>6 Days</t>
  </si>
  <si>
    <t>Training in Other Programme</t>
  </si>
  <si>
    <t>Training Modules &amp;
Teaching Aids Available
Yes/ No</t>
  </si>
  <si>
    <t>Trainers
(Please attach list of trained trainers)</t>
  </si>
  <si>
    <t xml:space="preserve">Induction training  </t>
  </si>
  <si>
    <t>SIHFW</t>
  </si>
  <si>
    <t>4 Days</t>
  </si>
  <si>
    <t>Reputed institutions</t>
  </si>
  <si>
    <t xml:space="preserve"> PC &amp; PNDT Orientation  for strengthening monitoring reporting mechanisim  </t>
  </si>
  <si>
    <t>Total</t>
  </si>
  <si>
    <t>Selected DHH with CS facility</t>
  </si>
  <si>
    <t>MO/SN/OT Assistant</t>
  </si>
  <si>
    <t>MO's/DM RCH</t>
  </si>
  <si>
    <t>Block Level/District Level</t>
  </si>
  <si>
    <t>Block Level Cold-chain Handlers</t>
  </si>
  <si>
    <t>Approved Budget ( in Lakhs)</t>
  </si>
  <si>
    <t>Medical officer</t>
  </si>
  <si>
    <t>12  days</t>
  </si>
  <si>
    <t>12 days</t>
  </si>
  <si>
    <t>Faculty Med. College (Gyn)/ Distt Gynaecologist.</t>
  </si>
  <si>
    <t>DIO/Paediatricians/MO/SN Trained in TOT</t>
  </si>
  <si>
    <t>Gynaecologist from Med college/Master trainers</t>
  </si>
  <si>
    <t>Dist, Level TOT(DGO/SN)</t>
  </si>
  <si>
    <t>Trained Gynaecologist</t>
  </si>
  <si>
    <t>National facilitators of NNF,IANN,faculty of neonatology of national/regional SNCUcollaborative centers</t>
  </si>
  <si>
    <t>Gynaecologists from Medical Colleges</t>
  </si>
  <si>
    <t>TOT trained HOD of Obs./Gyn, senior faculty members of district training centres(Gynaecologists/ MTP trained &amp; certified MBBS doctors</t>
  </si>
  <si>
    <t>Gynaecologist /Surgeon who has undergone ToT at National /state level</t>
  </si>
  <si>
    <t>State Level Master Trainers</t>
  </si>
  <si>
    <t>Trainers who have undergone ToT</t>
  </si>
  <si>
    <t xml:space="preserve">2 days </t>
  </si>
  <si>
    <t>2014-15</t>
  </si>
  <si>
    <t>2015-16</t>
  </si>
  <si>
    <t>Other MH Training</t>
  </si>
  <si>
    <t>Other MH Trng</t>
  </si>
  <si>
    <t>FMR Code</t>
  </si>
  <si>
    <t>Skill Lab Training</t>
  </si>
  <si>
    <t>A.9.1</t>
  </si>
  <si>
    <t>Training Motivation &amp; Follow up visit</t>
  </si>
  <si>
    <t>A.9.1..3</t>
  </si>
  <si>
    <t>A.9.3.1.2</t>
  </si>
  <si>
    <t>Batch Size/ 
No. of Batches</t>
  </si>
  <si>
    <t>A.9.3</t>
  </si>
  <si>
    <t>Skilled Birth Attendent (SBA Training)</t>
  </si>
  <si>
    <t>Gyne/ Paed/ Prog Officer/ SN</t>
  </si>
  <si>
    <t>MTP/MVA (TOT)</t>
  </si>
  <si>
    <t>RTI/STI (TOT)</t>
  </si>
  <si>
    <t>A.9.3.2.3</t>
  </si>
  <si>
    <t>A.9.3.3.3</t>
  </si>
  <si>
    <t>A.9.3.4.2</t>
  </si>
  <si>
    <t>A.9.3.5.3</t>
  </si>
  <si>
    <t>A.9.3.5.2</t>
  </si>
  <si>
    <t>A.9.3.6.2</t>
  </si>
  <si>
    <t>A.9.3.7</t>
  </si>
  <si>
    <t>Other Maternal Health Training</t>
  </si>
  <si>
    <t>A.9.3.7.3</t>
  </si>
  <si>
    <t>A.9.3.7.6</t>
  </si>
  <si>
    <t>A.9.3.7.7</t>
  </si>
  <si>
    <t>A.9.4.4</t>
  </si>
  <si>
    <t>AYUSH</t>
  </si>
  <si>
    <t>Confidence building on ultrasonograohy</t>
  </si>
  <si>
    <t>OG spl.</t>
  </si>
  <si>
    <t>Trng of Syphilis</t>
  </si>
  <si>
    <t>Distt level trng of syphilis</t>
  </si>
  <si>
    <t>MO, SN, LHV, ANM, OG, Splst.</t>
  </si>
  <si>
    <t>IMEP (Others)</t>
  </si>
  <si>
    <t>SIHFW/ Any other site selected by the state</t>
  </si>
  <si>
    <t>SCB, MCH &amp; DHH</t>
  </si>
  <si>
    <t>Medical/ DH</t>
  </si>
  <si>
    <t>DH/ ANMTC</t>
  </si>
  <si>
    <t>Care of Sick Children &amp; SAM</t>
  </si>
  <si>
    <t>FIMNCI</t>
  </si>
  <si>
    <t>Combined Group</t>
  </si>
  <si>
    <t>Other IMNCI</t>
  </si>
  <si>
    <t xml:space="preserve">14 Days observership training </t>
  </si>
  <si>
    <t>SNCU Staff</t>
  </si>
  <si>
    <t>RBSK</t>
  </si>
  <si>
    <t>Mobile Health Team</t>
  </si>
  <si>
    <t>DEIC Staff</t>
  </si>
  <si>
    <t>1 day NSSK Refresher trng</t>
  </si>
  <si>
    <t>A.9.5.1.1</t>
  </si>
  <si>
    <t>A.9.5.1.2</t>
  </si>
  <si>
    <t>MCH, Govt. Medical College</t>
  </si>
  <si>
    <t>A.9.5.2.2</t>
  </si>
  <si>
    <t>A.9.5.2.3</t>
  </si>
  <si>
    <t>A.9.5.4.2</t>
  </si>
  <si>
    <t>DH/ SDH</t>
  </si>
  <si>
    <t>2 Day</t>
  </si>
  <si>
    <t>A.9.5.5.1.2</t>
  </si>
  <si>
    <t>NSSK Refresher</t>
  </si>
  <si>
    <t>A.9.5.5.1.4</t>
  </si>
  <si>
    <t>A.9.5.5.2.a</t>
  </si>
  <si>
    <t>FBNC (Observership)</t>
  </si>
  <si>
    <t>2 weeks</t>
  </si>
  <si>
    <t>A.9.5.5.2.b</t>
  </si>
  <si>
    <t>A.9.5.5.2.c</t>
  </si>
  <si>
    <t>ANM,SN,NRC, AWCs</t>
  </si>
  <si>
    <t>A.9.5.5.2.e</t>
  </si>
  <si>
    <t xml:space="preserve">CDR (Child Death Review) Trng </t>
  </si>
  <si>
    <t xml:space="preserve">IMMUNIZATION trng
</t>
  </si>
  <si>
    <t>C.3.1</t>
  </si>
  <si>
    <t>MO of Routine Immunization</t>
  </si>
  <si>
    <t>C.3.2</t>
  </si>
  <si>
    <t>C.3.3</t>
  </si>
  <si>
    <t>C.3.5</t>
  </si>
  <si>
    <t>C.3.4</t>
  </si>
  <si>
    <t>Name of the Training/ Activities</t>
  </si>
  <si>
    <t>Budget in lkahs</t>
  </si>
  <si>
    <t>NPCB</t>
  </si>
  <si>
    <t>E.2.1</t>
  </si>
  <si>
    <t>IDSP</t>
  </si>
  <si>
    <t>K.1.2.1</t>
  </si>
  <si>
    <t>Training per existing CHC</t>
  </si>
  <si>
    <t>Other Family Planning</t>
  </si>
  <si>
    <t>A.9.6.1.2</t>
  </si>
  <si>
    <t>A.9.6.2.2</t>
  </si>
  <si>
    <t>NSV TOT</t>
  </si>
  <si>
    <t>A.9.6.3.1</t>
  </si>
  <si>
    <t>A.9.6.3.2</t>
  </si>
  <si>
    <t>A.9.6.4.2</t>
  </si>
  <si>
    <t>A.9.6.5.2</t>
  </si>
  <si>
    <t>DH/ Medical College</t>
  </si>
  <si>
    <t>A.9.6.8</t>
  </si>
  <si>
    <t>A.9.6.4.5</t>
  </si>
  <si>
    <t xml:space="preserve">AYUSH </t>
  </si>
  <si>
    <t>A.9.6.4.3</t>
  </si>
  <si>
    <t>A.9.6.4.4</t>
  </si>
  <si>
    <t>Other FP (RMNCH+A)</t>
  </si>
  <si>
    <t>LT (Combined)</t>
  </si>
  <si>
    <t>A.9.7.1.2</t>
  </si>
  <si>
    <t>A.9.7.1.1</t>
  </si>
  <si>
    <t>A.9.7.1.3</t>
  </si>
  <si>
    <t>AYUSH/ANM/LHV /SN/ICTC Councellors/STD Councellors</t>
  </si>
  <si>
    <t>A.9.7.1.5</t>
  </si>
  <si>
    <t>Peer Educators</t>
  </si>
  <si>
    <t>A.9.7.2.2</t>
  </si>
  <si>
    <t>A.9.7.2.3</t>
  </si>
  <si>
    <t>Other ARSH Training</t>
  </si>
  <si>
    <t>A.9.8.3</t>
  </si>
  <si>
    <t>A.9.8.4.1</t>
  </si>
  <si>
    <t>MBBS Doctors</t>
  </si>
  <si>
    <t>A.9.8.4.4</t>
  </si>
  <si>
    <t>Training for NGO/PPP</t>
  </si>
  <si>
    <t>MDP(BPMSU)+ Ref Trng+ PGDPHM</t>
  </si>
  <si>
    <t>MDP(DPMSU)+ PGDPHM</t>
  </si>
  <si>
    <t>MO/AYUSH</t>
  </si>
  <si>
    <t>A.9.9.1</t>
  </si>
  <si>
    <t>A.9.9.2</t>
  </si>
  <si>
    <t>Other PC &amp; PNDT</t>
  </si>
  <si>
    <t>A.9.11.3</t>
  </si>
  <si>
    <t>A.9.12.2</t>
  </si>
  <si>
    <t>RBSK (DEIC Staff)</t>
  </si>
  <si>
    <t>15 days</t>
  </si>
  <si>
    <t>Ophthalmic Assistants to Rop Training for  Institutes</t>
  </si>
  <si>
    <t>Ortho Surg. On Club Foot mgt.</t>
  </si>
  <si>
    <t>DEIC Staff &amp; Pad. Spl. Of DHH</t>
  </si>
  <si>
    <t>A.9.12.3</t>
  </si>
  <si>
    <t>DMRCH</t>
  </si>
  <si>
    <t>RBSK Managers</t>
  </si>
  <si>
    <t>DEIC MO/ Others</t>
  </si>
  <si>
    <t>One Day state level orientation for MO/ Other Staff Delivery Point</t>
  </si>
  <si>
    <t xml:space="preserve">  DPM</t>
  </si>
  <si>
    <t>Block MOIC</t>
  </si>
  <si>
    <t>BPM</t>
  </si>
  <si>
    <t>Delivery Points</t>
  </si>
  <si>
    <t>One Day  District Level orientation for programme managers</t>
  </si>
  <si>
    <t>One Day  Block Level orientation</t>
  </si>
  <si>
    <t xml:space="preserve">Mos </t>
  </si>
  <si>
    <t>E.2.2</t>
  </si>
  <si>
    <t>Hospital Pharmasist/Nurse</t>
  </si>
  <si>
    <t>E.2.3</t>
  </si>
  <si>
    <t>Lab Technician</t>
  </si>
  <si>
    <t>Data Managers</t>
  </si>
  <si>
    <t>DEO cum accountants</t>
  </si>
  <si>
    <t>ASHA, AWW and MPW</t>
  </si>
  <si>
    <t>Data Entry &amp; Analysis for block health team</t>
  </si>
  <si>
    <t>Sensitization for PRIs</t>
  </si>
  <si>
    <t>E.2.4</t>
  </si>
  <si>
    <t>E.2.5</t>
  </si>
  <si>
    <t>E.2.6</t>
  </si>
  <si>
    <t>E.2.7</t>
  </si>
  <si>
    <t>E.2.8</t>
  </si>
  <si>
    <t>E.2.9</t>
  </si>
  <si>
    <t>Training in Disease Control Programme Odisha</t>
  </si>
  <si>
    <t>S. No.</t>
  </si>
  <si>
    <t>Remarks</t>
  </si>
  <si>
    <t>Training under NUHM</t>
  </si>
  <si>
    <t>Faculty Med. College Obs./Gyn and Ped./ Distt Hospital Obs./ Gyn. &amp; Ped.</t>
  </si>
  <si>
    <t>10 Days</t>
  </si>
  <si>
    <t>16 weeks</t>
  </si>
  <si>
    <t>18 weeks</t>
  </si>
  <si>
    <t>Medical College/ DH</t>
  </si>
  <si>
    <t>Faculty Med. College (Anesthesia)/ Distt. Anesthesia</t>
  </si>
  <si>
    <t>12 Days</t>
  </si>
  <si>
    <t>Orientation team of trainers at state level</t>
  </si>
  <si>
    <t>DH/DTC</t>
  </si>
  <si>
    <t>Faculty Med. College Obs./Gyn., Paed.</t>
  </si>
  <si>
    <t>Batch Size upto 8</t>
  </si>
  <si>
    <t>21 Days</t>
  </si>
  <si>
    <t>DH/SDH/FRU</t>
  </si>
  <si>
    <t>TOT trained Obs./ Gynae, Paed./ MOs trained in ENBC &amp; Resuscitation &amp; MO/ SN</t>
  </si>
  <si>
    <t>Paed./MO/SN/Trained in TOT</t>
  </si>
  <si>
    <t>MO/ SN trained in TOT</t>
  </si>
  <si>
    <t>MC/ NRC</t>
  </si>
  <si>
    <t>Sr. Paed. Of Med. College./ FIMNCI Master Trainers</t>
  </si>
  <si>
    <t>State/ DTC/ RHFWTC</t>
  </si>
  <si>
    <t>MO/ SN/ ANM/ LHV/ MPHs trained in TOT</t>
  </si>
  <si>
    <t>IMNCI TOT (pre service &amp; in service)</t>
  </si>
  <si>
    <t>Faculty of ANMTC &amp; GNMTC at state level</t>
  </si>
  <si>
    <t>DH/ SIHFW/ RHFWTC</t>
  </si>
  <si>
    <t>Paed./ MO Master Trainers</t>
  </si>
  <si>
    <t>DH/ MC/ DTC/ ANCU</t>
  </si>
  <si>
    <t>Paed./ MO Trained in TOT</t>
  </si>
  <si>
    <t>MO/ SN/ Sister Tutors/ Trained TOT</t>
  </si>
  <si>
    <t>SIHFW/ RHFWTC/ MC DTC</t>
  </si>
  <si>
    <t>Paed./SIO/ MO/ Master trainers</t>
  </si>
  <si>
    <t>DH</t>
  </si>
  <si>
    <t>State HQ/ SIHFW</t>
  </si>
  <si>
    <t>Trainers from SIHFW, SPMU, SHSRC, technical advisors of state</t>
  </si>
  <si>
    <t>Trauned trainers of the state/ district</t>
  </si>
  <si>
    <t>1day</t>
  </si>
  <si>
    <t>A.9.3.8</t>
  </si>
  <si>
    <t>BSU Training</t>
  </si>
  <si>
    <t>BSU RefresherTraining</t>
  </si>
  <si>
    <t>MO/LT</t>
  </si>
  <si>
    <t>Yes</t>
  </si>
  <si>
    <t>A.9.3.1.3.1</t>
  </si>
  <si>
    <t>A.9.3.1.3.2</t>
  </si>
  <si>
    <t>Inservice faculties &amp; SN of NC</t>
  </si>
  <si>
    <t>Available trained personnel in NC</t>
  </si>
  <si>
    <t>District Level</t>
  </si>
  <si>
    <t>MO/ANM/SN</t>
  </si>
  <si>
    <t>Decide when training conducted</t>
  </si>
  <si>
    <t>A.9.5.5.1.3.1</t>
  </si>
  <si>
    <t>A.9.5.5.1.3.2</t>
  </si>
  <si>
    <t>MO/SN/Trained in TOT</t>
  </si>
  <si>
    <t>Paed &amp; SN</t>
  </si>
  <si>
    <t>National Level Trainers</t>
  </si>
  <si>
    <t>WHO Consultant/ DFW Personnel</t>
  </si>
  <si>
    <t>National Level</t>
  </si>
  <si>
    <t>150 persons at a time</t>
  </si>
  <si>
    <t>Trained TOTs under RBSK</t>
  </si>
  <si>
    <t>DEIC Staff Members (Mos/ Physiotherapist/ Psychologist/ Dental Surgen/ RBSK Manager/ Opthe/ Social Workers)</t>
  </si>
  <si>
    <t>Decide later</t>
  </si>
  <si>
    <t>Dist Level Trainers</t>
  </si>
  <si>
    <t>Distt/Block Level Trainers</t>
  </si>
  <si>
    <t>National/ State TOT</t>
  </si>
  <si>
    <t>State Level Trainers</t>
  </si>
  <si>
    <t>Distt Level Trainers</t>
  </si>
  <si>
    <t>Distt/ Block Level Trainers</t>
  </si>
  <si>
    <t>Peer Educators (Distt)</t>
  </si>
  <si>
    <t>Peer Educators (Block)</t>
  </si>
  <si>
    <t>5 Days</t>
  </si>
  <si>
    <t>BS=30
NB=1</t>
  </si>
  <si>
    <t>National/ State Level Trainers</t>
  </si>
  <si>
    <t>A.9.3.1.4.1</t>
  </si>
  <si>
    <t>A.9.3.1.4.2</t>
  </si>
  <si>
    <t>A.9.3.7.1.1</t>
  </si>
  <si>
    <t>SBA Training</t>
  </si>
  <si>
    <t>A.9.3.7.1.2</t>
  </si>
  <si>
    <t>A.9.3.7.1.3</t>
  </si>
  <si>
    <t>A.9.3.7.1.4</t>
  </si>
  <si>
    <t>Handson Training (Practical)</t>
  </si>
  <si>
    <t>7 Days</t>
  </si>
  <si>
    <t>NSSK (Distt Level), DP point</t>
  </si>
  <si>
    <t>A.9.3.7.5.1</t>
  </si>
  <si>
    <t>A.9.3.7.5.2</t>
  </si>
  <si>
    <t>A.9.3.7.5.3</t>
  </si>
  <si>
    <t>TOT (DAKSHYATA)</t>
  </si>
  <si>
    <t>Mos</t>
  </si>
  <si>
    <t>Regional Level</t>
  </si>
  <si>
    <t xml:space="preserve">DAKSHYATA </t>
  </si>
  <si>
    <t>OG spl/ MBBS/ SN</t>
  </si>
  <si>
    <t>State/ Distt Level</t>
  </si>
  <si>
    <t>DAKSHYATA (Orientation of Block Functionary)</t>
  </si>
  <si>
    <t>MBBS/ BPM</t>
  </si>
  <si>
    <t>A.9.5.5.2.d.1</t>
  </si>
  <si>
    <t>A.9.5.5.2.d.2</t>
  </si>
  <si>
    <t>IMNCI (Followup Supervision)</t>
  </si>
  <si>
    <t>State/Distt Level Trainers</t>
  </si>
  <si>
    <t>A.9.5.5.2.e.1</t>
  </si>
  <si>
    <t>A.9.5.5.2.e.2</t>
  </si>
  <si>
    <t>A.9.5.5.2.e.3</t>
  </si>
  <si>
    <t>A.9.5.5.2.e.5</t>
  </si>
  <si>
    <t>Nodal Officers (MO/Paed. Spec.)</t>
  </si>
  <si>
    <t>CDR (Sensidization of all DPO &amp; convergent dept of distt level)</t>
  </si>
  <si>
    <t>Health &amp; ICDS Personnels</t>
  </si>
  <si>
    <t>CDR (Cause of death)</t>
  </si>
  <si>
    <t>Block NO/ Facility NO/ MO</t>
  </si>
  <si>
    <t>CDR (Verbal Autopsy for high NMR Distt)</t>
  </si>
  <si>
    <t>MO/ANM/ICDS supervisors</t>
  </si>
  <si>
    <t>State level trainers</t>
  </si>
  <si>
    <t>A.9.8.4.2.1</t>
  </si>
  <si>
    <t>A.9.8.4.2.2</t>
  </si>
  <si>
    <t>A.9.8.4.2.4</t>
  </si>
  <si>
    <t>30 Days</t>
  </si>
  <si>
    <t>Med College/ State level trainers</t>
  </si>
  <si>
    <t>Management Development Prog.</t>
  </si>
  <si>
    <t>Senior Mos</t>
  </si>
  <si>
    <t>Gopabandhu Academy of Administration</t>
  </si>
  <si>
    <t>E Learning (PDC)</t>
  </si>
  <si>
    <t>6 Months</t>
  </si>
  <si>
    <t>NIHFW</t>
  </si>
  <si>
    <t>A.9.8.4.3.3</t>
  </si>
  <si>
    <t>A.9.8.4.3.4</t>
  </si>
  <si>
    <t>A.9.8.4.3.5</t>
  </si>
  <si>
    <t>ADMO/MO/DPHU/PHU/DMRCH/DPM/BPM/ASHA</t>
  </si>
  <si>
    <t>Capacity Building on IPC Skill using mob kunji and PLA technique</t>
  </si>
  <si>
    <t>HW(M&amp;F)/Aditional ANM</t>
  </si>
  <si>
    <t>ASHA/ASHA Sakhi</t>
  </si>
  <si>
    <t>A.9.8.4.4.1.1</t>
  </si>
  <si>
    <t>Ref Training (Tech update) on SBA and NSSK</t>
  </si>
  <si>
    <t>MO/AYUSH MO/ANM/SN</t>
  </si>
  <si>
    <t>A.9.8.4.4.1.2</t>
  </si>
  <si>
    <t>Ref Training on prog &amp; fin mang.</t>
  </si>
  <si>
    <t>Project Coordinator/ BPM</t>
  </si>
  <si>
    <t>A.9.8.4.4.2.1</t>
  </si>
  <si>
    <t>field coordinator &amp; community facilitator</t>
  </si>
  <si>
    <t>SC Level</t>
  </si>
  <si>
    <t>A.9.8.4.4.3.1</t>
  </si>
  <si>
    <t>Health Assistants</t>
  </si>
  <si>
    <t>Distt level trainers</t>
  </si>
  <si>
    <t>Community mobilization &amp; Leadership development for managing maternity waiting homes</t>
  </si>
  <si>
    <t>Community mobilization &amp; Leadership development for ngo scheme in V4 SC</t>
  </si>
  <si>
    <t>A.9.8.4.4.4.1</t>
  </si>
  <si>
    <t>Prog Mang trng</t>
  </si>
  <si>
    <t>Staff of NGO PPP cell</t>
  </si>
  <si>
    <t>Not decided yet</t>
  </si>
  <si>
    <t>A.9.8.1.1</t>
  </si>
  <si>
    <t>PGDPHM</t>
  </si>
  <si>
    <t>Senior Cunsultant/SPM/SDM/Prog Associate</t>
  </si>
  <si>
    <t>1 year course</t>
  </si>
  <si>
    <t>National Level trainers</t>
  </si>
  <si>
    <t>A.9.8.1.2.1</t>
  </si>
  <si>
    <t>A.9.8.1.2.2</t>
  </si>
  <si>
    <t>A.9.8.1.2.3</t>
  </si>
  <si>
    <t>A.9.8.1.3</t>
  </si>
  <si>
    <t>Prog. Officer</t>
  </si>
  <si>
    <t>Fin Officer</t>
  </si>
  <si>
    <t>MIS Officer</t>
  </si>
  <si>
    <t>Depends on reputed institution</t>
  </si>
  <si>
    <t>E Learning (PMSU)</t>
  </si>
  <si>
    <t>DPM/BPM/DMRCH/SPMU</t>
  </si>
  <si>
    <t>3 months</t>
  </si>
  <si>
    <t>A.9.8.2.1</t>
  </si>
  <si>
    <t>A.9.8.2.2.1</t>
  </si>
  <si>
    <t>A.9.8.2.2.2</t>
  </si>
  <si>
    <t>A.9.8.2.2.3</t>
  </si>
  <si>
    <t>A.9.8.2.3</t>
  </si>
  <si>
    <t>A.9.8.2.4</t>
  </si>
  <si>
    <t>DPMU Staff</t>
  </si>
  <si>
    <t>Fin Mang. Trng</t>
  </si>
  <si>
    <t>Fin persons of distt and block</t>
  </si>
  <si>
    <t>A.9.8.3.1</t>
  </si>
  <si>
    <t>A.9.8.3.2.1</t>
  </si>
  <si>
    <t>A.9.8.3.2.2</t>
  </si>
  <si>
    <t>A.9.8.3.2.3</t>
  </si>
  <si>
    <t>A.9.8.3.3</t>
  </si>
  <si>
    <t>A.9.8.3.4</t>
  </si>
  <si>
    <t>MDP Trng</t>
  </si>
  <si>
    <t>Refresher Training</t>
  </si>
  <si>
    <t xml:space="preserve">BPM </t>
  </si>
  <si>
    <t>BPMU</t>
  </si>
  <si>
    <t>Teaching Aid Available</t>
  </si>
  <si>
    <t>A.9.9.1.1</t>
  </si>
  <si>
    <t>A.9.9.1.2</t>
  </si>
  <si>
    <t>A.9.9.1.3</t>
  </si>
  <si>
    <t>A.9.9.1.4</t>
  </si>
  <si>
    <t>Declining of sex ratio and PCPNDT act</t>
  </si>
  <si>
    <t>Asst. Manager ASHA/ GKS Coordinator</t>
  </si>
  <si>
    <t>Distt/ Block level Trainers</t>
  </si>
  <si>
    <t>MC&amp;H Students</t>
  </si>
  <si>
    <t>SCB MC, VSS MC, MKCG MC</t>
  </si>
  <si>
    <t>Residential training of trainers on gender biased sex selectio declining sex ratio and PCPNDT act</t>
  </si>
  <si>
    <t>Prog. Associate/ ASHA managers</t>
  </si>
  <si>
    <t>Sensitisation Meeting for implementation of mob kunji and PLA technique</t>
  </si>
  <si>
    <t>Sensitisation Meeting on declining of sex ratio and PCPNDT act</t>
  </si>
  <si>
    <t>Sensitisation of law college students on PCPNDT act</t>
  </si>
  <si>
    <t>Law faculties and students</t>
  </si>
  <si>
    <t>A.9.9.2.1.1</t>
  </si>
  <si>
    <t>A.9.9.2.1.2</t>
  </si>
  <si>
    <t>A.9.9.2.1.3</t>
  </si>
  <si>
    <t>Gender Sensitive &amp; MISP</t>
  </si>
  <si>
    <t>Orient. For OSCC, PA &amp; RMNCHC</t>
  </si>
  <si>
    <t>Cross Sector Equity Taskforce meeting</t>
  </si>
  <si>
    <t>A.9.11.3.2</t>
  </si>
  <si>
    <t>TOT of Nurse trainers on skill lab</t>
  </si>
  <si>
    <t>Capacity Building of Nursing Tutors</t>
  </si>
  <si>
    <t>District HQ</t>
  </si>
  <si>
    <t>ppt</t>
  </si>
  <si>
    <t>Dist. officials</t>
  </si>
  <si>
    <t>Training of ANM</t>
  </si>
  <si>
    <t>Training of MO</t>
  </si>
  <si>
    <t>Medical Officer</t>
  </si>
  <si>
    <t>State</t>
  </si>
  <si>
    <t>Training of MAS</t>
  </si>
  <si>
    <t>MAS Member</t>
  </si>
  <si>
    <t>Field Level</t>
  </si>
  <si>
    <t>ASHA</t>
  </si>
  <si>
    <t>City officials</t>
  </si>
  <si>
    <t>2.3.3</t>
  </si>
  <si>
    <t>Induction training for DPMU staff</t>
  </si>
  <si>
    <t>APM-UH/Prog. Asst/CPM</t>
  </si>
  <si>
    <t>Batch Size=20
No. of Batches=1</t>
  </si>
  <si>
    <t>state</t>
  </si>
  <si>
    <t>State Officials</t>
  </si>
  <si>
    <t>City level TOT on UHND</t>
  </si>
  <si>
    <t>ANM/PMU staff</t>
  </si>
  <si>
    <t>Batch Size=30
No. of Batches=46</t>
  </si>
  <si>
    <t>District/City</t>
  </si>
  <si>
    <t>yes</t>
  </si>
  <si>
    <t>Dist. Officials</t>
  </si>
  <si>
    <t>Field level Training on UHND</t>
  </si>
  <si>
    <t>ASHA/AWW</t>
  </si>
  <si>
    <t>Batch Size=40
No. of Batches=112</t>
  </si>
  <si>
    <t>City level TOT on MAS</t>
  </si>
  <si>
    <t>ASHA Manager/APM/CPM/CDPO etc.</t>
  </si>
  <si>
    <t>Batch Size=20
No. of Batches=25</t>
  </si>
  <si>
    <t>Training of WKS and RKS</t>
  </si>
  <si>
    <t>WKS and RKS Member</t>
  </si>
  <si>
    <t>Induction level Training of  LT in urban areas</t>
  </si>
  <si>
    <t>14 days</t>
  </si>
  <si>
    <t>25(2)</t>
  </si>
  <si>
    <t>ROH F &amp;W</t>
  </si>
  <si>
    <t>Reorientation Training of LT</t>
  </si>
  <si>
    <t>5days</t>
  </si>
  <si>
    <t>20(3)</t>
  </si>
  <si>
    <t>NAMMIS  Training</t>
  </si>
  <si>
    <t xml:space="preserve">4 days </t>
  </si>
  <si>
    <t>23 (3)</t>
  </si>
  <si>
    <t>State H.Q</t>
  </si>
  <si>
    <t>Reorientation of ASHAs at sector level</t>
  </si>
  <si>
    <t>30(871)</t>
  </si>
  <si>
    <t>CHC HQ</t>
  </si>
  <si>
    <t xml:space="preserve">Training of MPW (M &amp; F) </t>
  </si>
  <si>
    <t>MPHW</t>
  </si>
  <si>
    <t>25 (60)</t>
  </si>
  <si>
    <t>District H.Q</t>
  </si>
  <si>
    <t>Reorientation  of  MTS</t>
  </si>
  <si>
    <t>30 (3)</t>
  </si>
  <si>
    <t>Orientation of  ANM  of Tribal Residential  School On VBD</t>
  </si>
  <si>
    <t>25(15)</t>
  </si>
  <si>
    <t>Training &amp; Orientation of spray workers on IRS technique at State &amp; Regional level &amp; printing of training material for IRS</t>
  </si>
  <si>
    <t xml:space="preserve">2 Days </t>
  </si>
  <si>
    <t>30(4)</t>
  </si>
  <si>
    <t>Regional</t>
  </si>
  <si>
    <t>Training of FLA</t>
  </si>
  <si>
    <t>30(1)</t>
  </si>
  <si>
    <t>Management of DF/DHF/DSS for Dengue, Chikungunya</t>
  </si>
  <si>
    <t>(Medicine &amp; Pediatric Specialist)</t>
  </si>
  <si>
    <t>Training of insect collecters ,NFCP Workers &amp; Health Workers and NVBDCP staff on Dengue Prevention By conducting  Larval surveillance and doing anti larval measures</t>
  </si>
  <si>
    <t>insect collecters, NFCP Workers &amp; Health Workers and NVBDCP staff</t>
  </si>
  <si>
    <t>3 (50)</t>
  </si>
  <si>
    <t>Training of officials for functonalistation of Dengue Sentinel Site</t>
  </si>
  <si>
    <t>2 (30)</t>
  </si>
  <si>
    <t>No. of batches/Batch Size</t>
  </si>
  <si>
    <t>Sr. No.</t>
  </si>
  <si>
    <t>Spray Workers</t>
  </si>
  <si>
    <t>Logistic Assistant</t>
  </si>
  <si>
    <t>State Level trainers</t>
  </si>
  <si>
    <t>Distt Level trainers</t>
  </si>
  <si>
    <t>Distt/Block Level trainers</t>
  </si>
  <si>
    <t>District level trainers</t>
  </si>
  <si>
    <t>Depends on the participents in the district</t>
  </si>
  <si>
    <t>ADMO/DMRCH/DVLM/DIO</t>
  </si>
  <si>
    <t>One stop crisis center, shradha clinic counsellor</t>
  </si>
  <si>
    <t>MD NHM/ PL SECRETORY SC &amp; ST, Add secretory (HFW), Add secretory (home)</t>
  </si>
  <si>
    <t>No</t>
  </si>
  <si>
    <t>Depends on the size of the blocks of the distt (Decide later)</t>
  </si>
  <si>
    <t>NAME OF STATES</t>
  </si>
  <si>
    <t>Rajasthan</t>
  </si>
  <si>
    <t>Himachal Pradesh</t>
  </si>
  <si>
    <t>A.9.3.1.3</t>
  </si>
  <si>
    <t xml:space="preserve"> Trained Obs&amp;Gynae,Paed PO/ SN. </t>
  </si>
  <si>
    <t xml:space="preserve">Yes </t>
  </si>
  <si>
    <t xml:space="preserve">  District Hospitals</t>
  </si>
  <si>
    <t>A.9.3.7.1</t>
  </si>
  <si>
    <t>Med. College Faculty/PO/Trained trainers</t>
  </si>
  <si>
    <t>ANM/FHW/LHVs</t>
  </si>
  <si>
    <t>A.9.3.1.4</t>
  </si>
  <si>
    <t>21 days</t>
  </si>
  <si>
    <t>B.9.4</t>
  </si>
  <si>
    <t>MOs</t>
  </si>
  <si>
    <t xml:space="preserve">TOT trained Obstetrician/ MO/ SN&amp; Paed. M.O. </t>
  </si>
  <si>
    <t>28 Days</t>
  </si>
  <si>
    <t>District Hospitals</t>
  </si>
  <si>
    <t>A.9.5.5.1.3</t>
  </si>
  <si>
    <t xml:space="preserve">NSSK </t>
  </si>
  <si>
    <t>SIHFW/DHs</t>
  </si>
  <si>
    <t>A.9.12.1</t>
  </si>
  <si>
    <t>MHT-Tech.&amp; managerial</t>
  </si>
  <si>
    <t>not yet recruited</t>
  </si>
  <si>
    <t>RHFWTC/DHs</t>
  </si>
  <si>
    <t xml:space="preserve">Himachal Pradesh </t>
  </si>
  <si>
    <t>*</t>
  </si>
  <si>
    <t>A.9.6.5.4</t>
  </si>
  <si>
    <t>SNs</t>
  </si>
  <si>
    <t>DHs</t>
  </si>
  <si>
    <t>budget to be utilize from last year.</t>
  </si>
  <si>
    <t>NAME of STATES</t>
  </si>
  <si>
    <t>A.9.7.3.3</t>
  </si>
  <si>
    <t>WIFS (Refreshers)</t>
  </si>
  <si>
    <t>Blocks Nodal teachers</t>
  </si>
  <si>
    <t xml:space="preserve">1 Days </t>
  </si>
  <si>
    <t xml:space="preserve">Block Head Quarter </t>
  </si>
  <si>
    <t xml:space="preserve">yes </t>
  </si>
  <si>
    <t>H.6</t>
  </si>
  <si>
    <t>RNTCP</t>
  </si>
  <si>
    <t xml:space="preserve">3 days </t>
  </si>
  <si>
    <t>STDC, Dharampur</t>
  </si>
  <si>
    <t>NLEP(Capacity building)</t>
  </si>
  <si>
    <t>Newly appointed MOs</t>
  </si>
  <si>
    <t>Refreshers  trg Mos</t>
  </si>
  <si>
    <t>Refreshers trg Health workers</t>
  </si>
  <si>
    <t xml:space="preserve"> 2 days</t>
  </si>
  <si>
    <t>SN/ PHARMACIST</t>
  </si>
  <si>
    <t>Health Supervisors/ Workers</t>
  </si>
  <si>
    <t>I.1.6</t>
  </si>
  <si>
    <t>PMOAs</t>
  </si>
  <si>
    <t>J.1.3</t>
  </si>
  <si>
    <t>NMHP</t>
  </si>
  <si>
    <t>O.1.6</t>
  </si>
  <si>
    <t>NPCDCS</t>
  </si>
  <si>
    <t>Contractual Staff under NPCDCS</t>
  </si>
  <si>
    <t>A.9.8..1</t>
  </si>
  <si>
    <t xml:space="preserve">SPMU </t>
  </si>
  <si>
    <t>A.9.8..2</t>
  </si>
  <si>
    <t>DPMU</t>
  </si>
  <si>
    <t>Identified training institute( HIPA, PHFI)</t>
  </si>
  <si>
    <t>NA</t>
  </si>
  <si>
    <t xml:space="preserve">State Head Quarter </t>
  </si>
  <si>
    <t>DHQ</t>
  </si>
  <si>
    <t>CMO &amp; Staff</t>
  </si>
  <si>
    <t xml:space="preserve">Programme Management Training </t>
  </si>
  <si>
    <t>A.9.1.5</t>
  </si>
  <si>
    <t>Other skill lab training</t>
  </si>
  <si>
    <t xml:space="preserve"> StateTraned Trainers</t>
  </si>
  <si>
    <t>B.15.3.1.4.1</t>
  </si>
  <si>
    <t>HMIS/MCTS state level</t>
  </si>
  <si>
    <t>state DEO/Dist.DEO</t>
  </si>
  <si>
    <t>SHQ</t>
  </si>
  <si>
    <t>B.15.3.1.5</t>
  </si>
  <si>
    <t>HMIS/MCTS Dist. level</t>
  </si>
  <si>
    <t>B.15.3.1.6</t>
  </si>
  <si>
    <t>HMIS/MCTS Block level</t>
  </si>
  <si>
    <t>DHQ/BHG</t>
  </si>
  <si>
    <t xml:space="preserve">Induction training </t>
  </si>
  <si>
    <t>Hospital safety and patient comminication &amp;NHP</t>
  </si>
  <si>
    <t>Training of ministerial staff on office procedure &amp;finance administration</t>
  </si>
  <si>
    <t>Refresher training of pharmacists</t>
  </si>
  <si>
    <t>Refresher course for Ophthalmic officerstraining of pharmacists</t>
  </si>
  <si>
    <t>Refresher course for Operation Theater Assistants</t>
  </si>
  <si>
    <t>Jammu &amp; Kashmir</t>
  </si>
  <si>
    <t>SBA (MDR)</t>
  </si>
  <si>
    <t>A.9.4.3</t>
  </si>
  <si>
    <t>IMEP</t>
  </si>
  <si>
    <t>GMCJ/S</t>
  </si>
  <si>
    <t>CMO/BMO/MO/DPM</t>
  </si>
  <si>
    <t>Divisional level Orientation Training for implementation guidelines under MDR/IDR and community based distribution of Misoprostol for preventing PPH</t>
  </si>
  <si>
    <t>A.9.3.7.2</t>
  </si>
  <si>
    <t>Program Managers MH/CH</t>
  </si>
  <si>
    <t>Block level</t>
  </si>
  <si>
    <t xml:space="preserve">Divisional level, RIHFW, </t>
  </si>
  <si>
    <t>State level trainer</t>
  </si>
  <si>
    <t>newly recruited pharmacist/ ANMs</t>
  </si>
  <si>
    <t>A.9.5.5.2.d</t>
  </si>
  <si>
    <t xml:space="preserve">NRC </t>
  </si>
  <si>
    <t>MO/SN/Nutritional Counselor</t>
  </si>
  <si>
    <t>PPIUCD TOT</t>
  </si>
  <si>
    <t>State TOT</t>
  </si>
  <si>
    <t>5-6</t>
  </si>
  <si>
    <t>A.9.7.3.2</t>
  </si>
  <si>
    <t>WIFS Training</t>
  </si>
  <si>
    <t>Distt. Level/Block Level Healthcare Personnel</t>
  </si>
  <si>
    <t>Distt. Level/Block LevelDistt. Level/Block Level</t>
  </si>
  <si>
    <t>District level trainer</t>
  </si>
  <si>
    <t>A.9.7.6.1</t>
  </si>
  <si>
    <t>Other AH Training-Capacity building of Supervisory staff</t>
  </si>
  <si>
    <t>Supervisory staff(CHO/HE)</t>
  </si>
  <si>
    <t>M1.1</t>
  </si>
  <si>
    <t>NTCP</t>
  </si>
  <si>
    <t>all cadre</t>
  </si>
  <si>
    <t>State/ District</t>
  </si>
  <si>
    <t>RNTCP (Inductiontrng &amp;
 Re-training)</t>
  </si>
  <si>
    <t>AYUSH/ Mos</t>
  </si>
  <si>
    <t>Accounts Manager</t>
  </si>
  <si>
    <t>Training in Implementation of Tally</t>
  </si>
  <si>
    <t>A.9.8.4.2</t>
  </si>
  <si>
    <t>State level team</t>
  </si>
  <si>
    <t>Training of AYUSH doctors in panchkarma</t>
  </si>
  <si>
    <t>A.9.8.4.3</t>
  </si>
  <si>
    <t>Dept of ISM</t>
  </si>
  <si>
    <t>A.9.3.6.1</t>
  </si>
  <si>
    <t>BEmOC (TOT)</t>
  </si>
  <si>
    <t>TOT</t>
  </si>
  <si>
    <t>Madhya Pradesh</t>
  </si>
  <si>
    <t>10 days</t>
  </si>
  <si>
    <t>Identified MC</t>
  </si>
  <si>
    <t>16</t>
  </si>
  <si>
    <t>A.9.3.5.1</t>
  </si>
  <si>
    <t>MO AYUSH</t>
  </si>
  <si>
    <t xml:space="preserve">LSCS </t>
  </si>
  <si>
    <t>TOT (Surgeons)</t>
  </si>
  <si>
    <t xml:space="preserve"> SBA Training venue of district/ Identified DH/DTC (50)</t>
  </si>
  <si>
    <t>1 days</t>
  </si>
  <si>
    <t>MC, DH</t>
  </si>
  <si>
    <t>A.9.3.5.4</t>
  </si>
  <si>
    <t xml:space="preserve">Combined group of LT/SN </t>
  </si>
  <si>
    <t>General Suregons</t>
  </si>
  <si>
    <t xml:space="preserve">Identified MC/ DH </t>
  </si>
  <si>
    <t>A.9.3.7.8</t>
  </si>
  <si>
    <t>Syphilis</t>
  </si>
  <si>
    <t>District level officers (Program manager, ANM, SN, LHV, LT, MO, Obs/Gyn., Pediatrician, Pathologist, Microbiologist)</t>
  </si>
  <si>
    <t xml:space="preserve">Identified DH/DTC </t>
  </si>
  <si>
    <t>Skill lab staff training</t>
  </si>
  <si>
    <t>Combined group of SNs/ANMs</t>
  </si>
  <si>
    <t>Identified Skill lab</t>
  </si>
  <si>
    <t>15 Days</t>
  </si>
  <si>
    <t>SPM/ANM/LHV/SN</t>
  </si>
  <si>
    <t>A.9.3.7.9</t>
  </si>
  <si>
    <t xml:space="preserve">CME/ Workshops on MH interventions </t>
  </si>
  <si>
    <t>Combined group</t>
  </si>
  <si>
    <t>A.9.5.5.1.1</t>
  </si>
  <si>
    <t>Data Not Available</t>
  </si>
  <si>
    <t>A.9.6.4.1</t>
  </si>
  <si>
    <t>A.9.6.5.1</t>
  </si>
  <si>
    <t>A.9.6.5.3</t>
  </si>
  <si>
    <t>AYUSH MO</t>
  </si>
  <si>
    <t>A.9.6.6.1</t>
  </si>
  <si>
    <t xml:space="preserve">FP Orientation Training </t>
  </si>
  <si>
    <t>RMNCH+A/ FP Counsellors</t>
  </si>
  <si>
    <t>F.1.1.g</t>
  </si>
  <si>
    <t>NVBDCP Training</t>
  </si>
  <si>
    <t>Training &amp; Capacity Building for Malaria of MO, LT, MPHW, ANM and other volunteers</t>
  </si>
  <si>
    <t>F.1.2.i</t>
  </si>
  <si>
    <t>Training &amp; Printing including opreational research for Dengue &amp; Chikunguniya</t>
  </si>
  <si>
    <t>F.1.4d</t>
  </si>
  <si>
    <t xml:space="preserve">Traning /sensitization of district level officers on ELF and drug distributers including peripheral health workers </t>
  </si>
  <si>
    <t>20-30</t>
  </si>
  <si>
    <t>District/ Block level</t>
  </si>
  <si>
    <t xml:space="preserve">LTs/ Induction training, update &amp; re-training of all cadre of staff </t>
  </si>
  <si>
    <t>G.4.1</t>
  </si>
  <si>
    <t>NLEP Training</t>
  </si>
  <si>
    <t>Training of new MOs</t>
  </si>
  <si>
    <t>G.4.2</t>
  </si>
  <si>
    <t xml:space="preserve">Refresher trainig of MO </t>
  </si>
  <si>
    <t>G.4.4</t>
  </si>
  <si>
    <t xml:space="preserve">Training to Physiotherapists </t>
  </si>
  <si>
    <t>G.4.5</t>
  </si>
  <si>
    <t>Training to Lab Technicians</t>
  </si>
  <si>
    <t>G.4.6</t>
  </si>
  <si>
    <t>Management Training to District Nucleus Team</t>
  </si>
  <si>
    <t>Identified RHFWTC (Jabalpur, Indore, Gwalior)</t>
  </si>
  <si>
    <t xml:space="preserve">Data Not Available </t>
  </si>
  <si>
    <t>M1.2</t>
  </si>
  <si>
    <t>Training &amp; Outreach- Tobacco Cessation Center (TCC)</t>
  </si>
  <si>
    <t>K.3.1</t>
  </si>
  <si>
    <t>Orientation of Urban Local Bodies (ULB) on NUHM</t>
  </si>
  <si>
    <t>Members of ULBs</t>
  </si>
  <si>
    <t>State level/ CPMU level</t>
  </si>
  <si>
    <t>A.9.12.4</t>
  </si>
  <si>
    <t xml:space="preserve">Training for RBSK </t>
  </si>
  <si>
    <t xml:space="preserve">DEIC managers &amp; RBSK Coordinators at district level </t>
  </si>
  <si>
    <t>A.9.12.5</t>
  </si>
  <si>
    <t>RBSK Orientation for ASHAs</t>
  </si>
  <si>
    <t>ASHAs</t>
  </si>
  <si>
    <t>0.5 Day</t>
  </si>
  <si>
    <t>Block/PHC level</t>
  </si>
  <si>
    <t>Mos/AYUSH doctors</t>
  </si>
  <si>
    <t>A.9.8.4.5</t>
  </si>
  <si>
    <t>Trainings of Civil surgeons for hospital management by PHFI</t>
  </si>
  <si>
    <t xml:space="preserve">Civil Surgeons </t>
  </si>
  <si>
    <t>1 week</t>
  </si>
  <si>
    <t>A.9.8.4.6</t>
  </si>
  <si>
    <t xml:space="preserve">Capacity Building of health workforce on Disaster management </t>
  </si>
  <si>
    <t xml:space="preserve">Combined group </t>
  </si>
  <si>
    <t>A.9.11.1</t>
  </si>
  <si>
    <t>Infrastructure for Skill Labs of SNC at Ujjain &amp; Jabalpur (false ceiling cabinets, etc.)</t>
  </si>
  <si>
    <t>120 trg load for 6 weeks trg
+ 
280 trg load for divisional level skill lab orinttation trg</t>
  </si>
  <si>
    <t>A.9.10.1</t>
  </si>
  <si>
    <t>Strengthening of existing training institutions or nursing schools (excluding infrastructure &amp; HR)</t>
  </si>
  <si>
    <t>Strengthening</t>
  </si>
  <si>
    <t>Multiple Activities</t>
  </si>
  <si>
    <t xml:space="preserve">SNC/ Nursing Directorate at State level/ GNMTCs </t>
  </si>
  <si>
    <t>B.5.10</t>
  </si>
  <si>
    <t xml:space="preserve">Infrastructure for upgradation of 8 ANM schools to GNM schools </t>
  </si>
  <si>
    <t>9.3.4.1</t>
  </si>
  <si>
    <t>A.9.4.1</t>
  </si>
  <si>
    <t>IMEP Workshop</t>
  </si>
  <si>
    <t>Identified Medical College/DH/RHFWTC</t>
  </si>
  <si>
    <t>Faculty of Medical colleges/HFWTCs</t>
  </si>
  <si>
    <t>Refresher course for BEmOC</t>
  </si>
  <si>
    <t>Hospital attached to a Medical College/ District Hospital</t>
  </si>
  <si>
    <t>A.9.3.7.4</t>
  </si>
  <si>
    <t xml:space="preserve">Identified District
 Hospitals/SDH/FRU 
(where Specialist-
Ob/Gyn, Pediatrician,
 MOs, Nursing tutors/
SNs are in position)  </t>
  </si>
  <si>
    <t>TOT trained 
Obstetrician/ 
Gynae; Paed. /Mos
trained in ENBC&amp;
 Resuscitation &amp; 
MO/ SN</t>
  </si>
  <si>
    <t>RMNCH+A training of labour room staff</t>
  </si>
  <si>
    <t>Staff of Delivey Points</t>
  </si>
  <si>
    <t>34 batches</t>
  </si>
  <si>
    <t>A.9.4.2</t>
  </si>
  <si>
    <t xml:space="preserve">State/District  level
Programme managers </t>
  </si>
  <si>
    <t>Identified Medical 
College/DH/RHFWTC</t>
  </si>
  <si>
    <t>Faculty of Medical 
colleges/HFWTCs</t>
  </si>
  <si>
    <t>A.9.3.7.5</t>
  </si>
  <si>
    <t>Capacity Building of staff on HIV &amp; Syphilis</t>
  </si>
  <si>
    <t>1 Days</t>
  </si>
  <si>
    <t>A.9.5.2.1</t>
  </si>
  <si>
    <t>F-IMNCI  (TOT)</t>
  </si>
  <si>
    <t>A.9.5.3.1</t>
  </si>
  <si>
    <t>HBNC  TOT</t>
  </si>
  <si>
    <t>National/ State/ District Training Centres</t>
  </si>
  <si>
    <t>DH/SDH</t>
  </si>
  <si>
    <t>A.9.6.9</t>
  </si>
  <si>
    <t>Training /Orientation Technical manuals</t>
  </si>
  <si>
    <t>DLOs,surgeon&amp; Gynaecologists</t>
  </si>
  <si>
    <t>7 Batches</t>
  </si>
  <si>
    <t>6 batches</t>
  </si>
  <si>
    <t>498
batches</t>
  </si>
  <si>
    <t>Training of ANM/paramedical staff</t>
  </si>
  <si>
    <t xml:space="preserve">
987 </t>
  </si>
  <si>
    <t>673
 Batches</t>
  </si>
  <si>
    <t xml:space="preserve">4034
</t>
  </si>
  <si>
    <t>Selection &amp; Training of ASHAs</t>
  </si>
  <si>
    <t>MASs</t>
  </si>
  <si>
    <t>1/2 Day</t>
  </si>
  <si>
    <t>2 Batches</t>
  </si>
  <si>
    <t>5 Batches</t>
  </si>
  <si>
    <t>30 Batches</t>
  </si>
  <si>
    <t>26 Batches
(10 New + 16 refresher trg batches)</t>
  </si>
  <si>
    <t>10 Batches</t>
  </si>
  <si>
    <t>12 batches</t>
  </si>
  <si>
    <t>A.9.11.2</t>
  </si>
  <si>
    <t>Training of ANMs,Staff nurses,AWW,AWS</t>
  </si>
  <si>
    <t>ANMs,SNs,
AWW,AWS</t>
  </si>
  <si>
    <t>1Day</t>
  </si>
  <si>
    <t>51 Batches</t>
  </si>
  <si>
    <t>1 batch</t>
  </si>
  <si>
    <t>60 batches</t>
  </si>
  <si>
    <t>5 batches</t>
  </si>
  <si>
    <t>G.4.3</t>
  </si>
  <si>
    <t>250 batches</t>
  </si>
  <si>
    <t>H.S/H.W</t>
  </si>
  <si>
    <t>K.1.1.3</t>
  </si>
  <si>
    <t xml:space="preserve"> Training of Doctors &amp; Staffs from CHCs &amp; PHCs @0.80 lakh per unit</t>
  </si>
  <si>
    <t>Doctors &amp; staffs</t>
  </si>
  <si>
    <t>12 Districts</t>
  </si>
  <si>
    <t>102 CHCs</t>
  </si>
  <si>
    <t xml:space="preserve">K.1.3.1 </t>
  </si>
  <si>
    <t>Training &amp; IEC @0.30 lakh per PHC</t>
  </si>
  <si>
    <t>PHC</t>
  </si>
  <si>
    <t>398 PHCs</t>
  </si>
  <si>
    <t>17 Districts</t>
  </si>
  <si>
    <t>M.1.1.1</t>
  </si>
  <si>
    <t>Orientation of Stakeholder Organizations</t>
  </si>
  <si>
    <t>Stakeholders</t>
  </si>
  <si>
    <t>M.1.1.2</t>
  </si>
  <si>
    <t>Training of Health Professionals</t>
  </si>
  <si>
    <t>Health Professionals</t>
  </si>
  <si>
    <t>M.1.1.3</t>
  </si>
  <si>
    <t>Orientation of Law Enforcers</t>
  </si>
  <si>
    <t>Law Enforcers</t>
  </si>
  <si>
    <t>M.1.1.4</t>
  </si>
  <si>
    <t>Training of PRI's representatives/Police personnel/Teachers/Transport personnel/NGO personnel/Other stakeholders</t>
  </si>
  <si>
    <t xml:space="preserve"> PRI's representatives/Police personnel/Teachers/Transport personnel/NGO personnel/Other stakeholders</t>
  </si>
  <si>
    <t>M.1.1.5</t>
  </si>
  <si>
    <t>Other Trainings/Orientations-sessions incorporated in other's training</t>
  </si>
  <si>
    <t>M.2.1.1</t>
  </si>
  <si>
    <t>Weekly FGD with the tobacco users</t>
  </si>
  <si>
    <t>M.2.1.2</t>
  </si>
  <si>
    <t>Monthly meeting with the hospital staff</t>
  </si>
  <si>
    <t>hospital staff</t>
  </si>
  <si>
    <t>M.2.1</t>
  </si>
  <si>
    <t xml:space="preserve"> Trainings &amp; Outreach</t>
  </si>
  <si>
    <t>Uttar Pradesh</t>
  </si>
  <si>
    <t>Batch Size</t>
  </si>
  <si>
    <t xml:space="preserve"> </t>
  </si>
  <si>
    <t>A.9.3.2.2</t>
  </si>
  <si>
    <t xml:space="preserve">EmOC </t>
  </si>
  <si>
    <t>As per Arnis plan FoGS</t>
  </si>
  <si>
    <t>TOT trained Obstetrician of MC</t>
  </si>
  <si>
    <t>15-20</t>
  </si>
  <si>
    <t>25-30</t>
  </si>
  <si>
    <t xml:space="preserve">Training in Disease Control Programme </t>
  </si>
  <si>
    <t>8-10 Days</t>
  </si>
  <si>
    <t>30-35</t>
  </si>
  <si>
    <t>Minilap  (TOT)</t>
  </si>
  <si>
    <t>A.9.6.2.1</t>
  </si>
  <si>
    <t>Specialist</t>
  </si>
  <si>
    <t xml:space="preserve">Laproscopic Sterlization TOT </t>
  </si>
  <si>
    <t>A.9.6.1.1</t>
  </si>
  <si>
    <t>support staffs for COE &amp; NSV</t>
  </si>
  <si>
    <t>A.9.6.6.2</t>
  </si>
  <si>
    <t>4</t>
  </si>
  <si>
    <t>Consultant</t>
  </si>
  <si>
    <t>State training</t>
  </si>
  <si>
    <t>E.1.4</t>
  </si>
  <si>
    <t>153 batches</t>
  </si>
  <si>
    <t>75 batches</t>
  </si>
  <si>
    <t>820 batches</t>
  </si>
  <si>
    <t>Specialists</t>
  </si>
  <si>
    <t>NUHM training &amp; capacity building</t>
  </si>
  <si>
    <t>Others</t>
  </si>
  <si>
    <t>C.3.6</t>
  </si>
  <si>
    <t>Assam</t>
  </si>
  <si>
    <t>A.9.3.4.1</t>
  </si>
  <si>
    <t>MTP/MVA (Obs &amp; Gynae)</t>
  </si>
  <si>
    <t>Ref Course for SBA, CAC</t>
  </si>
  <si>
    <t>SN, O&amp;G</t>
  </si>
  <si>
    <t>LSCS</t>
  </si>
  <si>
    <t>MTP/MVA for counsellor</t>
  </si>
  <si>
    <t>SN/ANM (Counsllor)</t>
  </si>
  <si>
    <t>TOT Trained trainers</t>
  </si>
  <si>
    <t>SN/ANM/LHV</t>
  </si>
  <si>
    <t>SBA Refresher training</t>
  </si>
  <si>
    <t>A.9.3.7.10</t>
  </si>
  <si>
    <t>Gynaecologist from Medical Colleges</t>
  </si>
  <si>
    <t>10</t>
  </si>
  <si>
    <t xml:space="preserve">3 Days </t>
  </si>
  <si>
    <t>A.9.6.7</t>
  </si>
  <si>
    <t>MHS Training</t>
  </si>
  <si>
    <t>A.9.7.4.2</t>
  </si>
  <si>
    <t>Trained TOT</t>
  </si>
  <si>
    <t>M.2.2</t>
  </si>
  <si>
    <t>Medical Officers, SN</t>
  </si>
  <si>
    <t>MO,Training &amp; sensitization Programme</t>
  </si>
  <si>
    <t>NTCP - SN/ANM</t>
  </si>
  <si>
    <t>Bihar</t>
  </si>
  <si>
    <t>Chhattisgarh</t>
  </si>
  <si>
    <t>Managmant of SAM for NRC staff</t>
  </si>
  <si>
    <t>A.9.2.2.2</t>
  </si>
  <si>
    <t>6</t>
  </si>
  <si>
    <t>Detailed Module is being Worked out</t>
  </si>
  <si>
    <t>Development in Process</t>
  </si>
  <si>
    <t>PP Sterilization, Extended support Staffs</t>
  </si>
  <si>
    <t>MAMTA TOT</t>
  </si>
  <si>
    <t>Jharkhand</t>
  </si>
  <si>
    <t xml:space="preserve">BEmOC REFRESHER </t>
  </si>
  <si>
    <t>Y</t>
  </si>
  <si>
    <t>SBA Reorientation</t>
  </si>
  <si>
    <t>4 days</t>
  </si>
  <si>
    <t xml:space="preserve">all 24 district hospital </t>
  </si>
  <si>
    <t>REFRESHER TRANING OF MO in safe abortion</t>
  </si>
  <si>
    <t>MO/SN/ANM</t>
  </si>
  <si>
    <t>All 24 district HQ</t>
  </si>
  <si>
    <t>A.9.7.3.1</t>
  </si>
  <si>
    <t>DAM, Accounts Manager</t>
  </si>
  <si>
    <t>Not Approved</t>
  </si>
  <si>
    <t xml:space="preserve">COMMUNITY USE OF MISOPROSTOL </t>
  </si>
  <si>
    <t>300</t>
  </si>
  <si>
    <t>BEmOC (for Rural Medical Assistant)</t>
  </si>
  <si>
    <t>5</t>
  </si>
  <si>
    <t>SETTING UP OF SBA TRAINING CENTRES</t>
  </si>
  <si>
    <t>A.9.3.1.1</t>
  </si>
  <si>
    <t>A.9.5.4.1</t>
  </si>
  <si>
    <t>DH/MC</t>
  </si>
  <si>
    <t>RMAs</t>
  </si>
  <si>
    <t xml:space="preserve">Other training and capacity building programmes </t>
  </si>
  <si>
    <t>Shifted to A.9.6.6.2</t>
  </si>
  <si>
    <t>ARSH Councellors</t>
  </si>
  <si>
    <t>Ref Training</t>
  </si>
  <si>
    <t>Other NLEP Training</t>
  </si>
  <si>
    <t>Mitanins</t>
  </si>
  <si>
    <t>Block</t>
  </si>
  <si>
    <t xml:space="preserve">NLEP </t>
  </si>
  <si>
    <t>Combined</t>
  </si>
  <si>
    <t>Other Activities</t>
  </si>
  <si>
    <t>Uttarakhand</t>
  </si>
  <si>
    <t>Investigators for Verbal autopsy</t>
  </si>
  <si>
    <t>CDR training at block level</t>
  </si>
  <si>
    <t>District Programme Officer, Block Nodal Officer, Facility Nodal Officers, Mos assigning cause of death</t>
  </si>
  <si>
    <t>CDR training at district level</t>
  </si>
  <si>
    <t>State Programme Officer, District Nodal Officers</t>
  </si>
  <si>
    <t>CDR training at state level</t>
  </si>
  <si>
    <t xml:space="preserve">1 Day </t>
  </si>
  <si>
    <t>Block
level</t>
  </si>
  <si>
    <t>District
level</t>
  </si>
  <si>
    <t>State
level</t>
  </si>
  <si>
    <t>Contraceptive Update, PPIUCD Ref</t>
  </si>
  <si>
    <t>PFMS training/ CPMS Training</t>
  </si>
  <si>
    <t>Accounts personnel</t>
  </si>
  <si>
    <t>128
batches</t>
  </si>
  <si>
    <t>20 
Batches</t>
  </si>
  <si>
    <t xml:space="preserve">27 
batches  </t>
  </si>
  <si>
    <t>F.1.3.c</t>
  </si>
  <si>
    <t>Capacity Building</t>
  </si>
  <si>
    <t>9-12</t>
  </si>
  <si>
    <t>Upto 5</t>
  </si>
  <si>
    <t>Upto 5 (As per case load at delivery point)</t>
  </si>
  <si>
    <t>District Level=50
State Level=60</t>
  </si>
  <si>
    <t>10 to 15</t>
  </si>
  <si>
    <t>Upto 10</t>
  </si>
  <si>
    <t>50</t>
  </si>
  <si>
    <t>Nursing College</t>
  </si>
  <si>
    <t xml:space="preserve">TMH BGH </t>
  </si>
  <si>
    <t xml:space="preserve">SIHFW  </t>
  </si>
  <si>
    <t xml:space="preserve">Identified DH/DTC/ RHFWTC </t>
  </si>
  <si>
    <t>All Medical Colleges of the state to act as training centres</t>
  </si>
  <si>
    <t>40-50</t>
  </si>
  <si>
    <t>MC</t>
  </si>
  <si>
    <t>Distt/ Block Level</t>
  </si>
  <si>
    <t>SIHFW, MCs, HFWTC</t>
  </si>
  <si>
    <t>Identified DH/ DTC</t>
  </si>
  <si>
    <t>DH/SDH/CHC/MC</t>
  </si>
  <si>
    <t>RIHFW</t>
  </si>
  <si>
    <t>IPH</t>
  </si>
  <si>
    <t>35-40</t>
  </si>
  <si>
    <t xml:space="preserve">CMC </t>
  </si>
  <si>
    <t>Andhra Pradesh</t>
  </si>
  <si>
    <t>Goa</t>
  </si>
  <si>
    <t>Gujarat</t>
  </si>
  <si>
    <t>Haryana</t>
  </si>
  <si>
    <t>Karnataka</t>
  </si>
  <si>
    <t>Kerala</t>
  </si>
  <si>
    <t>Maharashtra</t>
  </si>
  <si>
    <t>Punjab</t>
  </si>
  <si>
    <t>Tamilnadu</t>
  </si>
  <si>
    <t>Telangana</t>
  </si>
  <si>
    <t>West Bengal</t>
  </si>
  <si>
    <t>EmOC TOT</t>
  </si>
  <si>
    <t>A.9.3.3.2</t>
  </si>
  <si>
    <t>LSA &amp; EmoC Workshop</t>
  </si>
  <si>
    <t>1 DAY</t>
  </si>
  <si>
    <t>12</t>
  </si>
  <si>
    <t>Ref SBA, RTI/STI</t>
  </si>
  <si>
    <t>Available funds</t>
  </si>
  <si>
    <t>60</t>
  </si>
  <si>
    <t>24</t>
  </si>
  <si>
    <t>Upto 8</t>
  </si>
  <si>
    <t>0</t>
  </si>
  <si>
    <t>16.33?</t>
  </si>
  <si>
    <t>8-10</t>
  </si>
  <si>
    <t>25 Batch(50)</t>
  </si>
  <si>
    <t>33</t>
  </si>
  <si>
    <t>Upto 3</t>
  </si>
  <si>
    <t>30/99</t>
  </si>
  <si>
    <t>140</t>
  </si>
  <si>
    <t>1-5  Day</t>
  </si>
  <si>
    <t>IMEP OtherTraining</t>
  </si>
  <si>
    <t>Paramedicals</t>
  </si>
  <si>
    <t>Faculty of SIHFW , HFWTC</t>
  </si>
  <si>
    <t>Setting up of SBA Training Centres</t>
  </si>
  <si>
    <t>SIH&amp;FW</t>
  </si>
  <si>
    <t xml:space="preserve">150 to 250 </t>
  </si>
  <si>
    <t xml:space="preserve">IMEP </t>
  </si>
  <si>
    <t>30</t>
  </si>
  <si>
    <t>HFWTC/DTC</t>
  </si>
  <si>
    <t>TOT recieved trainers</t>
  </si>
  <si>
    <t>Orientation Team of Trainers at State level</t>
  </si>
  <si>
    <t>A.9.1.1</t>
  </si>
  <si>
    <t>Setting up of Skill Lab</t>
  </si>
  <si>
    <t xml:space="preserve">Induction Training, </t>
  </si>
  <si>
    <t>HTC/DTC</t>
  </si>
  <si>
    <t>SACS</t>
  </si>
  <si>
    <t>A.9.2.2.1</t>
  </si>
  <si>
    <t>Training Technology</t>
  </si>
  <si>
    <t>Faculties of DTC, DTT, ANM, GNM Schools</t>
  </si>
  <si>
    <t>Competancy assessment of Healthcare Providers for RMNCH+A TOT</t>
  </si>
  <si>
    <t>TOT -  PODTTs,  DPHNOs, Head Nurse  and  SNs</t>
  </si>
  <si>
    <t>Gynecologists RMNCH+A trainers</t>
  </si>
  <si>
    <t>A.9.2.2.3</t>
  </si>
  <si>
    <t>RMNCH+A</t>
  </si>
  <si>
    <t>MC/DH/DTC</t>
  </si>
  <si>
    <t xml:space="preserve"> SBA Training venue of district/ Identified DH/DTC </t>
  </si>
  <si>
    <t xml:space="preserve"> Dakshata Training (LRMPQP) (Safe child birth and OSCE) </t>
  </si>
  <si>
    <t>Labour room staff</t>
  </si>
  <si>
    <t>Identified DH/DTC</t>
  </si>
  <si>
    <t>Identified gynecologist/PODTTs/DPHNO</t>
  </si>
  <si>
    <t>Annual Refresher Training for EmOC trained</t>
  </si>
  <si>
    <t xml:space="preserve">MO </t>
  </si>
  <si>
    <t>DTC/HFWTC</t>
  </si>
  <si>
    <t>RTI/STI</t>
  </si>
  <si>
    <t>MPHW/ANM/SNs</t>
  </si>
  <si>
    <t>50-60 depending on the region (State level or Distt level)</t>
  </si>
  <si>
    <t>Anesthesia Examination. Annual Refresher Training for LSAS trained</t>
  </si>
  <si>
    <t>7 days</t>
  </si>
  <si>
    <t>NO</t>
  </si>
  <si>
    <t xml:space="preserve"> RTI/STI</t>
  </si>
  <si>
    <t>HFWTC</t>
  </si>
  <si>
    <t>SBA for AYUSH/ MO</t>
  </si>
  <si>
    <t>AYUSH/MO</t>
  </si>
  <si>
    <t>TOT to MDR, Advance Public Health management Training</t>
  </si>
  <si>
    <t>24-30</t>
  </si>
  <si>
    <t>National Core Group Members</t>
  </si>
  <si>
    <t>Supervisors</t>
  </si>
  <si>
    <t>Skill Assesment of  SN/ANM</t>
  </si>
  <si>
    <t xml:space="preserve">Identified DH/DTC/ RHFWTC/ SIHMC </t>
  </si>
  <si>
    <t>State level TOT MDR Software Trg. &amp; Analysis</t>
  </si>
  <si>
    <t>State level/IIHFW</t>
  </si>
  <si>
    <t>OBG &amp; Public health specialists from identified MCs/IIHFWs</t>
  </si>
  <si>
    <t xml:space="preserve">Distt level trng of syphilis, Ultra Sonography Trg, Integrated refresher training </t>
  </si>
  <si>
    <t>TOT,LT, MO, SN, LHV, ANM, OG, Splst.</t>
  </si>
  <si>
    <t>Syphilis, Ultra Sonography Trg</t>
  </si>
  <si>
    <t>Arunachal Pradesh</t>
  </si>
  <si>
    <t>Manipur</t>
  </si>
  <si>
    <t>Meghalaya</t>
  </si>
  <si>
    <t>Mizoram</t>
  </si>
  <si>
    <t>Nagaland</t>
  </si>
  <si>
    <t>Sikkim</t>
  </si>
  <si>
    <t>Tripura</t>
  </si>
  <si>
    <t>Continued activity</t>
  </si>
  <si>
    <t>TOT for SBA</t>
  </si>
  <si>
    <t>Obs &amp; Gyne, Paed, SN</t>
  </si>
  <si>
    <t>8</t>
  </si>
  <si>
    <t>9</t>
  </si>
  <si>
    <t>Faculty of Medical 
colleges</t>
  </si>
  <si>
    <t>SHQ/DHQ</t>
  </si>
  <si>
    <t xml:space="preserve">TOT trained Obs./ Gynae, Paed./ MOs </t>
  </si>
  <si>
    <t>LT/SN</t>
  </si>
  <si>
    <t>Combined group of MO/SNs/ANMs</t>
  </si>
  <si>
    <t>Approval Pending</t>
  </si>
  <si>
    <t>BSU</t>
  </si>
  <si>
    <t>I/C of training Institutes</t>
  </si>
  <si>
    <t>1.Dr.Talitemsu, 2.Dr.Neiriethouo                              3. Dr.Khriezotuonuo zatsu                                 4.Dr.Imli     5.Dr.Elizabeth 6.Dr.Obungjungla</t>
  </si>
  <si>
    <t>BS=4
NB=25</t>
  </si>
  <si>
    <t>waste handlers</t>
  </si>
  <si>
    <t>SBA    (AYUSH)</t>
  </si>
  <si>
    <t>Training on MDR software  1st Phae</t>
  </si>
  <si>
    <t>State to adhere to the bacth of 30 as per the guidelines</t>
  </si>
  <si>
    <t>Reorientation training SBA</t>
  </si>
  <si>
    <t>ANM/SN</t>
  </si>
  <si>
    <t>YES</t>
  </si>
  <si>
    <t>Capacity Building of staff on HIV &amp; Syphilis, Orientation on JSSK, Anaemia tracking, high risk pregnancy, MCTS</t>
  </si>
  <si>
    <t>Distt level trng of syphilis (Base line Assessment training )</t>
  </si>
  <si>
    <t>MO/LT/SN</t>
  </si>
  <si>
    <t>A &amp; N Island</t>
  </si>
  <si>
    <t>Chandigarh</t>
  </si>
  <si>
    <t>Daman &amp; Diu</t>
  </si>
  <si>
    <t>D &amp; N Haveli</t>
  </si>
  <si>
    <t>Delhi</t>
  </si>
  <si>
    <t>Lakshadweep</t>
  </si>
  <si>
    <t>Pudichery</t>
  </si>
  <si>
    <t>Remark</t>
  </si>
  <si>
    <t>BS=1</t>
  </si>
  <si>
    <t>Decided by AVNI/FOGSI</t>
  </si>
  <si>
    <t>Traines from AVNI/FOGSI</t>
  </si>
  <si>
    <t>BS=30</t>
  </si>
  <si>
    <t>BS=16</t>
  </si>
  <si>
    <t>BS=8</t>
  </si>
  <si>
    <t>2 to 4</t>
  </si>
  <si>
    <t>2 to 5</t>
  </si>
  <si>
    <t>SBA, MVA/EVA</t>
  </si>
  <si>
    <t>4 to 5</t>
  </si>
  <si>
    <t xml:space="preserve"> SBA Training venue of district/ Identified DH/DTC</t>
  </si>
  <si>
    <t>Batch size=(2 or 3 or 4) As per case load at delivery point</t>
  </si>
  <si>
    <t>Batch size=25
No. of batch= 10</t>
  </si>
  <si>
    <t>BS=50 (District Level)
BS= 60 (State Level)</t>
  </si>
  <si>
    <t xml:space="preserve">Annual Ref Trg for LSAS/
Sensitization to MVA/ Screening of Syphilis in Ante-Natal Mothers </t>
  </si>
  <si>
    <t>MO/SN/HW</t>
  </si>
  <si>
    <t>BS=20</t>
  </si>
  <si>
    <t>BS=2
NB=6</t>
  </si>
  <si>
    <t>Batch size=18
No. of batch= 1</t>
  </si>
  <si>
    <t>Batch size=15
No. of batch= 67</t>
  </si>
  <si>
    <t>Batch size=30
No. of batch= 18</t>
  </si>
  <si>
    <t>Batch Size=50
No. of Batch=1</t>
  </si>
  <si>
    <t>Batch Size=50
No. of Batch=20</t>
  </si>
  <si>
    <t>Batch Size=50
No. of Batch=51</t>
  </si>
  <si>
    <t>Batch Size=30
No. of Batch=42</t>
  </si>
  <si>
    <t>BS=45</t>
  </si>
  <si>
    <t>State level/ Prashasnik Academy</t>
  </si>
  <si>
    <t xml:space="preserve">Faculty of Paediatrics </t>
  </si>
  <si>
    <t>HFWTC Pune</t>
  </si>
  <si>
    <t>VCDC Training</t>
  </si>
  <si>
    <t>SN/ANM/AWW/Dietician/Nutrition</t>
  </si>
  <si>
    <t>HFWTC /NRC</t>
  </si>
  <si>
    <t>MODTC/DRCHO/THO</t>
  </si>
  <si>
    <t>NRC/NICU/SNCU</t>
  </si>
  <si>
    <t>CPAP Training  (Continuous Positive Airway Pressure)</t>
  </si>
  <si>
    <t>MC/State Level</t>
  </si>
  <si>
    <t>TOT Paedtricians from MCs</t>
  </si>
  <si>
    <t>MOs of SNCU</t>
  </si>
  <si>
    <t>MC/DH</t>
  </si>
  <si>
    <t>1 Batch</t>
  </si>
  <si>
    <t>176 Taluks / 30 district</t>
  </si>
  <si>
    <t>176 Talukas</t>
  </si>
  <si>
    <t>Others NCCMIS</t>
  </si>
  <si>
    <t>Last year proposed activity</t>
  </si>
  <si>
    <t>Not mentioned</t>
  </si>
  <si>
    <t>Upto 500</t>
  </si>
  <si>
    <t>A 9.5.4.1</t>
  </si>
  <si>
    <t>D.H</t>
  </si>
  <si>
    <t>State/District</t>
  </si>
  <si>
    <t>A.9.5.3.2</t>
  </si>
  <si>
    <t>HBNC</t>
  </si>
  <si>
    <t>DH/ MC/ DTC</t>
  </si>
  <si>
    <t>MO,ANM,SN,NRC, AWCs</t>
  </si>
  <si>
    <t>IYCF/NRC /SNCU</t>
  </si>
  <si>
    <t>TOT/MO/SN/Nutritional Counselor</t>
  </si>
  <si>
    <t>-</t>
  </si>
  <si>
    <t>116(MO+SN)</t>
  </si>
  <si>
    <t>DEIC managers &amp; RBSK Coordinators at district level and ANM</t>
  </si>
  <si>
    <t>Refresher training ANM</t>
  </si>
  <si>
    <t>Puduchery</t>
  </si>
  <si>
    <t>SAM (Pediatrician)</t>
  </si>
  <si>
    <t>KEM, Pune</t>
  </si>
  <si>
    <t>TOT available</t>
  </si>
  <si>
    <t>State level/ SETMAP/ Prashasnik Academy</t>
  </si>
  <si>
    <t>20</t>
  </si>
  <si>
    <t>KEM Pune</t>
  </si>
  <si>
    <t>HFWTC+CH</t>
  </si>
  <si>
    <t>DFW/HFWTC</t>
  </si>
  <si>
    <t>A.9.2.1</t>
  </si>
  <si>
    <t>Development of training package</t>
  </si>
  <si>
    <t>na</t>
  </si>
  <si>
    <t>Batch Size=3
No. of Batch=3</t>
  </si>
  <si>
    <t>(LV Prasad/ JPM Ratary) BBSR</t>
  </si>
  <si>
    <t>Batch Size=15
No. of Batch=1</t>
  </si>
  <si>
    <t xml:space="preserve">Shri Ram Chndra Bhanja MC, Cuttack, Ortho Dep </t>
  </si>
  <si>
    <t>Batch Size=40
No. of Batch=1</t>
  </si>
  <si>
    <t>Batch Size=30
No. of Batches=98</t>
  </si>
  <si>
    <t>TOT on Leproscopic Sterilization</t>
  </si>
  <si>
    <t>Data not available</t>
  </si>
  <si>
    <t>Funds Available</t>
  </si>
  <si>
    <t>Gynaecologist/Surgeon</t>
  </si>
  <si>
    <t>Minilap</t>
  </si>
  <si>
    <t xml:space="preserve">TOT </t>
  </si>
  <si>
    <t>Funds available</t>
  </si>
  <si>
    <t xml:space="preserve">Laproscopic Sterlization </t>
  </si>
  <si>
    <t>Activity Approved as per RoP 2015-16</t>
  </si>
  <si>
    <t>Identified  DH/ DTC</t>
  </si>
  <si>
    <t>Newer CuT-375- sensitization</t>
  </si>
  <si>
    <t>DTC/HTC</t>
  </si>
  <si>
    <t>State-Level Master Trainers</t>
  </si>
  <si>
    <t>DH/CHC/PHC/ANMTC/DTC</t>
  </si>
  <si>
    <t>District-Level trainers</t>
  </si>
  <si>
    <t>A.9.6.6.8</t>
  </si>
  <si>
    <t>Training on FP counselling</t>
  </si>
  <si>
    <t>Family Planning Counsellor</t>
  </si>
  <si>
    <t>5 DAYS</t>
  </si>
  <si>
    <t>Contraceptive Update seminar/meetings</t>
  </si>
  <si>
    <t>LHV/ANM/MO/SN</t>
  </si>
  <si>
    <t>IUCD 375 insertion  TOT</t>
  </si>
  <si>
    <t>DPHN,BPHN,PHN</t>
  </si>
  <si>
    <t>Team of Gynaecologist/Surgeon, OT Nurse and Asstt</t>
  </si>
  <si>
    <t xml:space="preserve">IUCD 375 insertion  </t>
  </si>
  <si>
    <t>2
Teams</t>
  </si>
  <si>
    <t>MTP training</t>
  </si>
  <si>
    <t>Batch Size=10
No. of Batches=7</t>
  </si>
  <si>
    <t>DH/ANMTC/DTC</t>
  </si>
  <si>
    <t>RMNCH/FP Training /Orientation Technical manuals</t>
  </si>
  <si>
    <t>3 to 5</t>
  </si>
  <si>
    <t>10 1o 15</t>
  </si>
  <si>
    <t>Batch Size=4
No. of Batches=2</t>
  </si>
  <si>
    <t>Identified 50 DH/ DTC</t>
  </si>
  <si>
    <t>Batch Size=35
No. of Batches=1</t>
  </si>
  <si>
    <t>A.9.7.1.4</t>
  </si>
  <si>
    <t>AWW/MPW</t>
  </si>
  <si>
    <t>WIFS State level Refresher</t>
  </si>
  <si>
    <t>A.9.7.34.1</t>
  </si>
  <si>
    <t>MHS (State level)</t>
  </si>
  <si>
    <t>DRCHO/District level RKSK Nodal</t>
  </si>
  <si>
    <t xml:space="preserve">HFWTC </t>
  </si>
  <si>
    <t>TOT received trainers</t>
  </si>
  <si>
    <t>MHS (Block level)</t>
  </si>
  <si>
    <t>Menstrual hygiene training</t>
  </si>
  <si>
    <t>TOT Trained</t>
  </si>
  <si>
    <t>A.9.7.4.3</t>
  </si>
  <si>
    <t>MHS training at block level</t>
  </si>
  <si>
    <t>PHC/THC</t>
  </si>
  <si>
    <t>ARSH-Induction</t>
  </si>
  <si>
    <t>Counsellors</t>
  </si>
  <si>
    <t>ARSH-refresher</t>
  </si>
  <si>
    <t>ARSH Orientation</t>
  </si>
  <si>
    <t>SPM/DPMs (Dy CMOH III, DI of Schools, selected BMOH/BPHNO )</t>
  </si>
  <si>
    <t>State headquatars</t>
  </si>
  <si>
    <t>Pediatricians/ Programme officers</t>
  </si>
  <si>
    <t>15.6
Last Year</t>
  </si>
  <si>
    <t>1880</t>
  </si>
  <si>
    <t>190.63</t>
  </si>
  <si>
    <t>20..0</t>
  </si>
  <si>
    <t>33.5
Last Year</t>
  </si>
  <si>
    <t>Last Year</t>
  </si>
  <si>
    <t>A.9.1.2.3</t>
  </si>
  <si>
    <t>Refresher Orientation for RBSK</t>
  </si>
  <si>
    <t>District Officials</t>
  </si>
  <si>
    <t xml:space="preserve">Trained trainers </t>
  </si>
  <si>
    <t>School Health Programme Training</t>
  </si>
  <si>
    <t>Technical and managerial</t>
  </si>
  <si>
    <t>Facility based- MOs,
SN,ANM/MPWs</t>
  </si>
  <si>
    <t>12.82
Last Year</t>
  </si>
  <si>
    <t>Comminity Based-ASHA,Cordtr,ASHAs</t>
  </si>
  <si>
    <t>24.45
Last Year</t>
  </si>
  <si>
    <t>A.9.7.2.1</t>
  </si>
  <si>
    <t xml:space="preserve"> Peers Educators </t>
  </si>
  <si>
    <t>WIFS</t>
  </si>
  <si>
    <t>ANM/MO/AWW/Nodal Teacher (State level)</t>
  </si>
  <si>
    <t>70/30</t>
  </si>
  <si>
    <t>A.9.7.4.1</t>
  </si>
  <si>
    <t>ARSH- MHS Trg programme</t>
  </si>
  <si>
    <t>State Level (Distt. Nodal Officers-ACMOs, Div.PM,DPM,DCM)</t>
  </si>
  <si>
    <t>Distt Level</t>
  </si>
  <si>
    <t xml:space="preserve"> Data not Available</t>
  </si>
  <si>
    <t>E.2.10</t>
  </si>
  <si>
    <t>Compches of trg. Batches of Medical Colleges</t>
  </si>
  <si>
    <t>E.2.11</t>
  </si>
  <si>
    <t>**</t>
  </si>
  <si>
    <t>F.1.5.e</t>
  </si>
  <si>
    <t xml:space="preserve">spraying Kala-Azar </t>
  </si>
  <si>
    <t>G.1.3</t>
  </si>
  <si>
    <t>Sensitisation</t>
  </si>
  <si>
    <t xml:space="preserve">Identified RHFWTC </t>
  </si>
  <si>
    <t>15/25</t>
  </si>
  <si>
    <t xml:space="preserve">STDC, </t>
  </si>
  <si>
    <t>Mos/SN</t>
  </si>
  <si>
    <t>K.1.1.4</t>
  </si>
  <si>
    <t>Public Awareness &amp; IEC @ Rs.2 lakh per unit</t>
  </si>
  <si>
    <t>K.1.1.5</t>
  </si>
  <si>
    <t>Human Resource (Contractual) @ Rs.32.40 lakh per unit</t>
  </si>
  <si>
    <t>K.1.1.6</t>
  </si>
  <si>
    <t>Consultant Medicine 2 @ Rs.50,000 p.m.</t>
  </si>
  <si>
    <t>K.1.1.7</t>
  </si>
  <si>
    <t>Nurses 6 @ Rs.20,000 p.m.</t>
  </si>
  <si>
    <t>K.1.1.8</t>
  </si>
  <si>
    <t>Physiotherapist 1 @ Rs.20,000 p.m.</t>
  </si>
  <si>
    <t>K.1.1.9</t>
  </si>
  <si>
    <t>Hospital Attendants  2@ Rs.7500 p.m.</t>
  </si>
  <si>
    <t>K.1.1.10</t>
  </si>
  <si>
    <t>Sanitary Attendants 2 @ Rs.7500 p.m.</t>
  </si>
  <si>
    <t>50 CHC</t>
  </si>
  <si>
    <t>L.2.1</t>
  </si>
  <si>
    <t>NPPCD</t>
  </si>
  <si>
    <t>Training &amp; sensitization Programme</t>
  </si>
  <si>
    <t>Not Mentioned</t>
  </si>
  <si>
    <t>16 Districts(5 existing + 11 new)</t>
  </si>
  <si>
    <t>M.1.2.1</t>
  </si>
  <si>
    <t>Development of posters/ stickers/ handouts/ wall paintings/ hoardings/ local advt/ etc.</t>
  </si>
  <si>
    <t>M.1.2.2</t>
  </si>
  <si>
    <t>Places covered with hoardings/ bill boards/ signages etc.</t>
  </si>
  <si>
    <t>M.1.2.3</t>
  </si>
  <si>
    <t>Usage of Folk media such as Nukkad Natak/ mobile audio visual services/ local radio etc. and Innovations</t>
  </si>
  <si>
    <t>M.1.2.4</t>
  </si>
  <si>
    <t>Orientation of special events/innovative activities</t>
  </si>
  <si>
    <t>College Students</t>
  </si>
  <si>
    <t>M.1.3</t>
  </si>
  <si>
    <t>School Programme</t>
  </si>
  <si>
    <t>M.1.3.5</t>
  </si>
  <si>
    <t xml:space="preserve">Sensitisation campaign in College </t>
  </si>
  <si>
    <t>NTCP-TCC Training</t>
  </si>
  <si>
    <t>Training &amp; Outreach under Tobacco Cessation Centre (TCC)</t>
  </si>
  <si>
    <t>DTCs/PODTTs</t>
  </si>
  <si>
    <t>District level Trainers/POs</t>
  </si>
  <si>
    <t>M.2.1.3</t>
  </si>
  <si>
    <t>Training of Health Workers for extending Counselling services at peripheri level</t>
  </si>
  <si>
    <t>HW</t>
  </si>
  <si>
    <t>O.1.5</t>
  </si>
  <si>
    <t xml:space="preserve">National Programme for Prevention and Control of Cancer, Diabetes, Cardiovascular Diseases and Stroke (NPCDCS) </t>
  </si>
  <si>
    <t>DPO/DPC</t>
  </si>
  <si>
    <t>RPs from National Level</t>
  </si>
  <si>
    <t>MO PHC</t>
  </si>
  <si>
    <t>State/Dist level</t>
  </si>
  <si>
    <t>DPO/DPCs</t>
  </si>
  <si>
    <t>DTCs/PODTTs/CHNCs</t>
  </si>
  <si>
    <t>State/Dist. Trainers/MOs</t>
  </si>
  <si>
    <t>LT's</t>
  </si>
  <si>
    <t>5 day</t>
  </si>
  <si>
    <t xml:space="preserve">DTCs </t>
  </si>
  <si>
    <t>Dist Trainers</t>
  </si>
  <si>
    <t>O.1.4.1.3</t>
  </si>
  <si>
    <t>Trg. Of Specialist</t>
  </si>
  <si>
    <t>Mos, Councellors, Nurses, DEO, Workshops etc.</t>
  </si>
  <si>
    <t>Other NDCP Trainin g</t>
  </si>
  <si>
    <t>Combined, all cader</t>
  </si>
  <si>
    <t>Training in Disease Control Programme</t>
  </si>
  <si>
    <t>Arunchal Pradesh</t>
  </si>
  <si>
    <t>PRIs</t>
  </si>
  <si>
    <t>F.3.b</t>
  </si>
  <si>
    <t xml:space="preserve">Capacity building
(GFATM) for Malaria </t>
  </si>
  <si>
    <t>Capacity Building/Training of new MOs</t>
  </si>
  <si>
    <t>CME on NLEP training of Final year students of GMC, HMC, AMC</t>
  </si>
  <si>
    <t>15-25</t>
  </si>
  <si>
    <t>SDQ/DHQ</t>
  </si>
  <si>
    <t>COMMUNITY VOLUNTEERS</t>
  </si>
  <si>
    <t>STO/DTO/Dy DTO</t>
  </si>
  <si>
    <t>Medical Officers</t>
  </si>
  <si>
    <t>Lab technicians</t>
  </si>
  <si>
    <t>Accountants</t>
  </si>
  <si>
    <t>Combined Groups</t>
  </si>
  <si>
    <t>N/A</t>
  </si>
  <si>
    <t>Delhi/ banglore</t>
  </si>
  <si>
    <t>10.-15</t>
  </si>
  <si>
    <t>each District</t>
  </si>
  <si>
    <t>DTCC officers</t>
  </si>
  <si>
    <t>Tes</t>
  </si>
  <si>
    <t>Specialist/ DTTC officers</t>
  </si>
  <si>
    <t>Specialist/ DTTC  and STCC officers</t>
  </si>
  <si>
    <t>STCC and DTCC officers</t>
  </si>
  <si>
    <t>O.1.4.1.4</t>
  </si>
  <si>
    <t>Mos,SNs,DEO, Counsellors</t>
  </si>
  <si>
    <t>Mental Health</t>
  </si>
  <si>
    <t>PHNs</t>
  </si>
  <si>
    <t>GNM</t>
  </si>
  <si>
    <t>Sentization Training Progrmme  For seletected representative NGOs</t>
  </si>
  <si>
    <t>1/2  days</t>
  </si>
  <si>
    <t>Other NDCP Programmse</t>
  </si>
  <si>
    <t xml:space="preserve">Not Mentioned </t>
  </si>
  <si>
    <t>25-35</t>
  </si>
  <si>
    <t xml:space="preserve"> Not mentioned</t>
  </si>
  <si>
    <t>STDC</t>
  </si>
  <si>
    <t>7 level training for health staff</t>
  </si>
  <si>
    <t xml:space="preserve">Training &amp; Printing including opreational research of Dengue &amp; Chikunguniya </t>
  </si>
  <si>
    <t>MO, LT, MPHW, ANM and other volunteers</t>
  </si>
  <si>
    <t>20 dist level/ 25 state level</t>
  </si>
  <si>
    <t xml:space="preserve">West Bengal </t>
  </si>
  <si>
    <t>Development/ translation and duplication of training materials</t>
  </si>
  <si>
    <t>Procument of Training Model-SBA, CAC BemOC &amp; IUCD</t>
  </si>
  <si>
    <t>Inservice training</t>
  </si>
  <si>
    <t xml:space="preserve">Public Health and Bio medical professionals </t>
  </si>
  <si>
    <t>IIPH</t>
  </si>
  <si>
    <t>Faculty of IIPH</t>
  </si>
  <si>
    <t>BCC Skill/ Hospital safety and patient comminication &amp;NHP</t>
  </si>
  <si>
    <t>MO/SNs</t>
  </si>
  <si>
    <t>BCC Skill/ Training of ministerial staff on office procedure &amp;finance administration</t>
  </si>
  <si>
    <t>DMIEOs/ANMs/LHVs/MPHW(M),HA(M)/BEE</t>
  </si>
  <si>
    <t>Orientation of Newly Promoted/  Training in Implementation of Tally</t>
  </si>
  <si>
    <t>SMOS/ Accounts Manager</t>
  </si>
  <si>
    <t>Induction Training, CPMS Training</t>
  </si>
  <si>
    <t>Mos, Accounts Manager</t>
  </si>
  <si>
    <t>State/District level</t>
  </si>
  <si>
    <t>Orientatiopn training program for SPHOs working in CHNCs</t>
  </si>
  <si>
    <t>SPHOs working in CHNCs</t>
  </si>
  <si>
    <t>Faculty of IIHFW/ State officials</t>
  </si>
  <si>
    <t>Computer Training</t>
  </si>
  <si>
    <t xml:space="preserve">Computer Training </t>
  </si>
  <si>
    <t>VHN/SHN/CHN</t>
  </si>
  <si>
    <t>Training under Quality Assurance, FMG,, Trainings of Civil surgeons for hospital management by PHFI</t>
  </si>
  <si>
    <t>TRANING OF BPMSU STAFF</t>
  </si>
  <si>
    <t>Capacity Building for Judiciary / AA/ Nodal Officers etc</t>
  </si>
  <si>
    <t>6 weeks</t>
  </si>
  <si>
    <t>RTCs</t>
  </si>
  <si>
    <t>Faculty at RTC</t>
  </si>
  <si>
    <t>A.9.11.3.1</t>
  </si>
  <si>
    <t>PGDHM Courses</t>
  </si>
  <si>
    <t>A.10.8.3</t>
  </si>
  <si>
    <t>Training on CPSMS</t>
  </si>
  <si>
    <t>Accounts staff</t>
  </si>
  <si>
    <t>B.5.10.1.3</t>
  </si>
  <si>
    <t>Spillover of Ongoing works (GNM school at Lalgarh)</t>
  </si>
  <si>
    <t>Other Trainings</t>
  </si>
  <si>
    <t>Training of Inventry Control</t>
  </si>
  <si>
    <t>Not Specified</t>
  </si>
  <si>
    <t xml:space="preserve">Office procedure &amp; Govt. accounts training </t>
  </si>
  <si>
    <t>SPMU &amp; Finance staff</t>
  </si>
  <si>
    <t>State/District Level Trainers</t>
  </si>
  <si>
    <t xml:space="preserve">RBSK Training </t>
  </si>
  <si>
    <t>Mobile health Team/Manageral</t>
  </si>
  <si>
    <t>RBSK Orientation training</t>
  </si>
  <si>
    <t>MO / other staff of Delivery points</t>
  </si>
  <si>
    <t xml:space="preserve">RBSK Refresher training -ANM </t>
  </si>
  <si>
    <t>B.15.3.1.4.2</t>
  </si>
  <si>
    <t xml:space="preserve">Training cum review meeting for HMIS &amp; MCTS at District  level </t>
  </si>
  <si>
    <t>Disttrict level</t>
  </si>
  <si>
    <t>B.15.3.1.4.3</t>
  </si>
  <si>
    <t xml:space="preserve">Training cum review meeting for HMIS &amp; MCTS at Block level </t>
  </si>
  <si>
    <t>Other Programmes</t>
  </si>
  <si>
    <t>VHNSC NGO training</t>
  </si>
  <si>
    <t>ANM/ASHA/AWW</t>
  </si>
  <si>
    <t>1 batch/30</t>
  </si>
  <si>
    <t xml:space="preserve"> 1 batch/30</t>
  </si>
  <si>
    <t xml:space="preserve">RIHFW </t>
  </si>
  <si>
    <t>BS=30
NB=3</t>
  </si>
  <si>
    <t>BS=30
NB=5</t>
  </si>
  <si>
    <t>BS=25
NB=3</t>
  </si>
  <si>
    <t>RIHFW J/k</t>
  </si>
  <si>
    <t>BS=30
NB=40</t>
  </si>
  <si>
    <t>BS=30
NB=150</t>
  </si>
  <si>
    <t>BS=35
NB=11</t>
  </si>
  <si>
    <t>BS=30
NB=6</t>
  </si>
  <si>
    <t>BS=3
NB=2</t>
  </si>
  <si>
    <t>SIHMC Gwalior</t>
  </si>
  <si>
    <t>1*</t>
  </si>
  <si>
    <t xml:space="preserve">ANM/ Combined group </t>
  </si>
  <si>
    <t>Orientation of Specialists</t>
  </si>
  <si>
    <t>Constitution and trainings</t>
  </si>
  <si>
    <t>MAS</t>
  </si>
  <si>
    <t>ASHA/ MAS Member</t>
  </si>
  <si>
    <t>SHQ/DHQ/ Field Level</t>
  </si>
  <si>
    <t>o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</si>
</sst>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 ;\-0.00\ "/>
    <numFmt numFmtId="173" formatCode="_ * #,##0_ ;_ * \-#,##0_ ;_ * &quot;-&quot;??_ ;_ @_ "/>
    <numFmt numFmtId="174" formatCode="0.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Calibri"/>
      <family val="2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2"/>
      <color indexed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9"/>
      <name val="Arial"/>
      <family val="2"/>
    </font>
    <font>
      <sz val="16"/>
      <color indexed="9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name val="Calibri"/>
      <family val="2"/>
    </font>
    <font>
      <sz val="12"/>
      <name val="Times New Roman"/>
      <family val="1"/>
    </font>
    <font>
      <b/>
      <sz val="18"/>
      <color indexed="9"/>
      <name val="Arial"/>
      <family val="2"/>
    </font>
    <font>
      <sz val="16"/>
      <name val="Calibri"/>
      <family val="2"/>
    </font>
    <font>
      <sz val="12"/>
      <color indexed="8"/>
      <name val="Times New Roman"/>
      <family val="1"/>
    </font>
    <font>
      <b/>
      <sz val="12"/>
      <name val="Tahoma"/>
      <family val="2"/>
    </font>
    <font>
      <sz val="12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9"/>
      <name val="Arial"/>
      <family val="2"/>
    </font>
    <font>
      <sz val="12"/>
      <color indexed="9"/>
      <name val="Calibri"/>
      <family val="2"/>
    </font>
    <font>
      <b/>
      <sz val="12"/>
      <name val="Cambria"/>
      <family val="1"/>
    </font>
    <font>
      <sz val="12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 style="thin"/>
      <top/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/>
      <bottom style="thin"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7" applyNumberFormat="0" applyFont="0" applyAlignment="0" applyProtection="0"/>
    <xf numFmtId="0" fontId="75" fillId="27" borderId="8" applyNumberFormat="0" applyAlignment="0" applyProtection="0"/>
    <xf numFmtId="9" fontId="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1475">
    <xf numFmtId="0" fontId="0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0" xfId="64" applyFont="1" applyFill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2" fontId="2" fillId="34" borderId="1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/>
    </xf>
    <xf numFmtId="0" fontId="0" fillId="33" borderId="0" xfId="0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34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 textRotation="90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10" xfId="0" applyFont="1" applyFill="1" applyBorder="1" applyAlignment="1">
      <alignment wrapText="1"/>
    </xf>
    <xf numFmtId="0" fontId="4" fillId="0" borderId="10" xfId="65" applyFont="1" applyFill="1" applyBorder="1" applyAlignment="1">
      <alignment horizontal="center" vertical="center" wrapText="1"/>
      <protection/>
    </xf>
    <xf numFmtId="0" fontId="2" fillId="0" borderId="10" xfId="65" applyFont="1" applyFill="1" applyBorder="1" applyAlignment="1">
      <alignment horizontal="center" vertical="center"/>
      <protection/>
    </xf>
    <xf numFmtId="0" fontId="2" fillId="0" borderId="10" xfId="6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2" fontId="4" fillId="0" borderId="10" xfId="65" applyNumberFormat="1" applyFont="1" applyFill="1" applyBorder="1" applyAlignment="1">
      <alignment horizontal="center" vertical="center" wrapText="1"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" fontId="4" fillId="0" borderId="15" xfId="0" applyNumberFormat="1" applyFont="1" applyFill="1" applyBorder="1" applyAlignment="1">
      <alignment horizontal="center" vertical="center" wrapText="1"/>
    </xf>
    <xf numFmtId="2" fontId="2" fillId="34" borderId="16" xfId="0" applyNumberFormat="1" applyFont="1" applyFill="1" applyBorder="1" applyAlignment="1">
      <alignment horizontal="center" vertical="top" wrapText="1"/>
    </xf>
    <xf numFmtId="0" fontId="13" fillId="0" borderId="10" xfId="61" applyFont="1" applyFill="1" applyBorder="1" applyAlignment="1">
      <alignment horizontal="center" vertical="center"/>
      <protection/>
    </xf>
    <xf numFmtId="0" fontId="14" fillId="0" borderId="10" xfId="61" applyFont="1" applyFill="1" applyBorder="1" applyAlignment="1">
      <alignment horizontal="center" vertical="center"/>
      <protection/>
    </xf>
    <xf numFmtId="0" fontId="13" fillId="0" borderId="10" xfId="61" applyFont="1" applyFill="1" applyBorder="1" applyAlignment="1">
      <alignment horizontal="center" vertical="center" wrapText="1"/>
      <protection/>
    </xf>
    <xf numFmtId="0" fontId="14" fillId="36" borderId="10" xfId="61" applyFont="1" applyFill="1" applyBorder="1" applyAlignment="1">
      <alignment horizontal="center" vertical="center"/>
      <protection/>
    </xf>
    <xf numFmtId="0" fontId="13" fillId="36" borderId="10" xfId="61" applyFont="1" applyFill="1" applyBorder="1" applyAlignment="1">
      <alignment horizontal="center" vertical="center"/>
      <protection/>
    </xf>
    <xf numFmtId="0" fontId="15" fillId="36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3" fillId="0" borderId="12" xfId="61" applyFont="1" applyFill="1" applyBorder="1" applyAlignment="1">
      <alignment horizontal="center"/>
      <protection/>
    </xf>
    <xf numFmtId="0" fontId="13" fillId="0" borderId="12" xfId="61" applyFont="1" applyFill="1" applyBorder="1" applyAlignment="1">
      <alignment horizontal="center" wrapText="1"/>
      <protection/>
    </xf>
    <xf numFmtId="0" fontId="13" fillId="0" borderId="17" xfId="61" applyFont="1" applyFill="1" applyBorder="1" applyAlignment="1">
      <alignment horizontal="center"/>
      <protection/>
    </xf>
    <xf numFmtId="0" fontId="16" fillId="0" borderId="10" xfId="61" applyFont="1" applyFill="1" applyBorder="1" applyAlignment="1">
      <alignment horizontal="center" vertical="center" wrapText="1"/>
      <protection/>
    </xf>
    <xf numFmtId="0" fontId="13" fillId="36" borderId="10" xfId="61" applyFont="1" applyFill="1" applyBorder="1" applyAlignment="1">
      <alignment horizontal="center" vertical="center" wrapText="1"/>
      <protection/>
    </xf>
    <xf numFmtId="0" fontId="13" fillId="0" borderId="10" xfId="58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  <xf numFmtId="0" fontId="17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3" fontId="13" fillId="0" borderId="10" xfId="45" applyNumberFormat="1" applyFont="1" applyFill="1" applyBorder="1" applyAlignment="1">
      <alignment horizontal="center" vertical="center"/>
    </xf>
    <xf numFmtId="173" fontId="13" fillId="36" borderId="10" xfId="45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0" xfId="6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1" xfId="61" applyFont="1" applyFill="1" applyBorder="1" applyAlignment="1">
      <alignment horizontal="center" vertical="center" wrapText="1"/>
      <protection/>
    </xf>
    <xf numFmtId="0" fontId="0" fillId="0" borderId="18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17" fillId="34" borderId="19" xfId="0" applyFont="1" applyFill="1" applyBorder="1" applyAlignment="1">
      <alignment horizontal="center" vertical="center"/>
    </xf>
    <xf numFmtId="0" fontId="17" fillId="34" borderId="20" xfId="64" applyFont="1" applyFill="1" applyBorder="1" applyAlignment="1">
      <alignment horizontal="center" vertical="center" wrapText="1"/>
      <protection/>
    </xf>
    <xf numFmtId="1" fontId="17" fillId="34" borderId="20" xfId="0" applyNumberFormat="1" applyFont="1" applyFill="1" applyBorder="1" applyAlignment="1">
      <alignment horizontal="center" vertical="center"/>
    </xf>
    <xf numFmtId="2" fontId="17" fillId="34" borderId="20" xfId="0" applyNumberFormat="1" applyFont="1" applyFill="1" applyBorder="1" applyAlignment="1">
      <alignment horizontal="center" vertical="center"/>
    </xf>
    <xf numFmtId="0" fontId="17" fillId="34" borderId="20" xfId="0" applyFont="1" applyFill="1" applyBorder="1" applyAlignment="1">
      <alignment horizontal="center" vertical="center"/>
    </xf>
    <xf numFmtId="0" fontId="17" fillId="34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2" fillId="0" borderId="10" xfId="65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2" xfId="65" applyFont="1" applyFill="1" applyBorder="1" applyAlignment="1">
      <alignment horizontal="center" vertical="center" wrapText="1"/>
      <protection/>
    </xf>
    <xf numFmtId="0" fontId="2" fillId="33" borderId="10" xfId="65" applyFont="1" applyFill="1" applyBorder="1" applyAlignment="1">
      <alignment horizontal="center" vertical="center" wrapText="1"/>
      <protection/>
    </xf>
    <xf numFmtId="0" fontId="18" fillId="33" borderId="10" xfId="0" applyFont="1" applyFill="1" applyBorder="1" applyAlignment="1">
      <alignment horizontal="center" vertical="center" wrapText="1"/>
    </xf>
    <xf numFmtId="49" fontId="4" fillId="0" borderId="10" xfId="65" applyNumberFormat="1" applyFont="1" applyFill="1" applyBorder="1" applyAlignment="1">
      <alignment horizontal="center" vertical="center" wrapText="1"/>
      <protection/>
    </xf>
    <xf numFmtId="0" fontId="4" fillId="33" borderId="10" xfId="65" applyNumberFormat="1" applyFont="1" applyFill="1" applyBorder="1" applyAlignment="1">
      <alignment horizontal="center" vertical="center" wrapText="1"/>
      <protection/>
    </xf>
    <xf numFmtId="0" fontId="4" fillId="0" borderId="10" xfId="65" applyNumberFormat="1" applyFont="1" applyFill="1" applyBorder="1" applyAlignment="1">
      <alignment horizontal="center" vertical="center" wrapText="1"/>
      <protection/>
    </xf>
    <xf numFmtId="0" fontId="4" fillId="0" borderId="10" xfId="66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33" borderId="23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0" fontId="4" fillId="0" borderId="10" xfId="64" applyFont="1" applyFill="1" applyBorder="1" applyAlignment="1">
      <alignment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65" applyFont="1" applyFill="1" applyBorder="1" applyAlignment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2" fontId="2" fillId="34" borderId="2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0" xfId="64" applyFont="1" applyFill="1" applyBorder="1" applyAlignment="1">
      <alignment horizontal="center" vertical="center" wrapText="1"/>
      <protection/>
    </xf>
    <xf numFmtId="0" fontId="4" fillId="33" borderId="10" xfId="66" applyFont="1" applyFill="1" applyBorder="1" applyAlignment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4" fillId="33" borderId="10" xfId="65" applyFont="1" applyFill="1" applyBorder="1" applyAlignment="1">
      <alignment horizontal="center" vertical="center" wrapText="1"/>
      <protection/>
    </xf>
    <xf numFmtId="3" fontId="4" fillId="33" borderId="10" xfId="0" applyNumberFormat="1" applyFont="1" applyFill="1" applyBorder="1" applyAlignment="1">
      <alignment horizontal="center" vertical="center" wrapText="1"/>
    </xf>
    <xf numFmtId="0" fontId="2" fillId="0" borderId="10" xfId="63" applyFont="1" applyFill="1" applyBorder="1" applyAlignment="1">
      <alignment horizontal="center" vertical="center" wrapText="1"/>
      <protection/>
    </xf>
    <xf numFmtId="2" fontId="2" fillId="0" borderId="10" xfId="63" applyNumberFormat="1" applyFont="1" applyFill="1" applyBorder="1" applyAlignment="1">
      <alignment horizontal="center" vertical="center" wrapText="1"/>
      <protection/>
    </xf>
    <xf numFmtId="0" fontId="11" fillId="0" borderId="23" xfId="0" applyFont="1" applyFill="1" applyBorder="1" applyAlignment="1">
      <alignment horizontal="center" vertical="center" wrapText="1"/>
    </xf>
    <xf numFmtId="2" fontId="4" fillId="33" borderId="23" xfId="0" applyNumberFormat="1" applyFont="1" applyFill="1" applyBorder="1" applyAlignment="1">
      <alignment horizontal="center" vertical="center"/>
    </xf>
    <xf numFmtId="0" fontId="11" fillId="33" borderId="23" xfId="64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 wrapText="1"/>
    </xf>
    <xf numFmtId="2" fontId="4" fillId="0" borderId="10" xfId="66" applyNumberFormat="1" applyFont="1" applyFill="1" applyBorder="1" applyAlignment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58" applyFont="1" applyFill="1" applyBorder="1" applyAlignment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0" xfId="65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64" applyFont="1" applyFill="1" applyBorder="1" applyAlignment="1">
      <alignment horizontal="center" vertical="center" wrapText="1"/>
      <protection/>
    </xf>
    <xf numFmtId="0" fontId="2" fillId="34" borderId="11" xfId="64" applyFont="1" applyFill="1" applyBorder="1" applyAlignment="1">
      <alignment horizontal="center" vertical="center" wrapText="1"/>
      <protection/>
    </xf>
    <xf numFmtId="0" fontId="2" fillId="0" borderId="23" xfId="65" applyFont="1" applyFill="1" applyBorder="1" applyAlignment="1">
      <alignment horizontal="center" vertical="center" wrapText="1"/>
      <protection/>
    </xf>
    <xf numFmtId="0" fontId="2" fillId="0" borderId="15" xfId="65" applyFont="1" applyFill="1" applyBorder="1" applyAlignment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2" fillId="35" borderId="13" xfId="65" applyFont="1" applyFill="1" applyBorder="1" applyAlignment="1">
      <alignment horizontal="center" vertical="center" wrapText="1"/>
      <protection/>
    </xf>
    <xf numFmtId="0" fontId="2" fillId="34" borderId="10" xfId="65" applyFont="1" applyFill="1" applyBorder="1" applyAlignment="1">
      <alignment horizontal="center" vertical="center" wrapText="1"/>
      <protection/>
    </xf>
    <xf numFmtId="0" fontId="2" fillId="34" borderId="13" xfId="65" applyFont="1" applyFill="1" applyBorder="1" applyAlignment="1">
      <alignment horizontal="center" vertical="center" wrapText="1"/>
      <protection/>
    </xf>
    <xf numFmtId="0" fontId="2" fillId="34" borderId="20" xfId="0" applyFont="1" applyFill="1" applyBorder="1" applyAlignment="1">
      <alignment horizontal="center" vertical="center" wrapText="1"/>
    </xf>
    <xf numFmtId="0" fontId="2" fillId="34" borderId="10" xfId="64" applyFont="1" applyFill="1" applyBorder="1" applyAlignment="1">
      <alignment horizontal="center" vertical="top" wrapText="1"/>
      <protection/>
    </xf>
    <xf numFmtId="0" fontId="4" fillId="0" borderId="23" xfId="65" applyFont="1" applyFill="1" applyBorder="1" applyAlignment="1">
      <alignment horizontal="center" vertical="center" wrapText="1"/>
      <protection/>
    </xf>
    <xf numFmtId="0" fontId="4" fillId="0" borderId="15" xfId="65" applyFont="1" applyFill="1" applyBorder="1" applyAlignment="1">
      <alignment horizontal="center" vertical="center" wrapText="1"/>
      <protection/>
    </xf>
    <xf numFmtId="0" fontId="4" fillId="0" borderId="2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33" borderId="10" xfId="66" applyFont="1" applyFill="1" applyBorder="1" applyAlignment="1">
      <alignment horizontal="center" vertical="center" wrapText="1"/>
      <protection/>
    </xf>
    <xf numFmtId="0" fontId="2" fillId="33" borderId="12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/>
    </xf>
    <xf numFmtId="0" fontId="2" fillId="37" borderId="12" xfId="65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/>
    </xf>
    <xf numFmtId="0" fontId="2" fillId="0" borderId="11" xfId="6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5" xfId="64" applyFont="1" applyFill="1" applyBorder="1" applyAlignment="1">
      <alignment horizontal="center" vertical="center" wrapText="1"/>
      <protection/>
    </xf>
    <xf numFmtId="0" fontId="4" fillId="0" borderId="11" xfId="64" applyFont="1" applyFill="1" applyBorder="1" applyAlignment="1">
      <alignment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0" fontId="4" fillId="0" borderId="10" xfId="64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/>
    </xf>
    <xf numFmtId="0" fontId="2" fillId="0" borderId="31" xfId="65" applyFont="1" applyFill="1" applyBorder="1" applyAlignment="1">
      <alignment horizontal="center" vertical="center" wrapText="1"/>
      <protection/>
    </xf>
    <xf numFmtId="0" fontId="2" fillId="33" borderId="31" xfId="64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2" fillId="0" borderId="12" xfId="65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4" fillId="33" borderId="10" xfId="60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49" fontId="4" fillId="0" borderId="10" xfId="60" applyNumberFormat="1" applyFont="1" applyFill="1" applyBorder="1" applyAlignment="1">
      <alignment horizontal="center" vertical="center" wrapText="1"/>
      <protection/>
    </xf>
    <xf numFmtId="0" fontId="4" fillId="0" borderId="16" xfId="60" applyFont="1" applyFill="1" applyBorder="1" applyAlignment="1">
      <alignment horizontal="center" vertical="center" wrapText="1"/>
      <protection/>
    </xf>
    <xf numFmtId="0" fontId="4" fillId="38" borderId="10" xfId="60" applyFont="1" applyFill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23" xfId="65" applyFont="1" applyFill="1" applyBorder="1" applyAlignment="1">
      <alignment vertical="center" wrapText="1"/>
      <protection/>
    </xf>
    <xf numFmtId="0" fontId="4" fillId="0" borderId="23" xfId="0" applyFont="1" applyFill="1" applyBorder="1" applyAlignment="1">
      <alignment vertical="center" wrapText="1"/>
    </xf>
    <xf numFmtId="0" fontId="4" fillId="33" borderId="10" xfId="60" applyFont="1" applyFill="1" applyBorder="1" applyAlignment="1">
      <alignment horizontal="center" vertical="center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60" applyNumberFormat="1" applyFont="1" applyFill="1" applyBorder="1" applyAlignment="1">
      <alignment horizontal="center" vertical="center" wrapText="1"/>
      <protection/>
    </xf>
    <xf numFmtId="0" fontId="4" fillId="38" borderId="10" xfId="60" applyNumberFormat="1" applyFont="1" applyFill="1" applyBorder="1" applyAlignment="1">
      <alignment horizontal="center" vertical="center" wrapText="1"/>
      <protection/>
    </xf>
    <xf numFmtId="2" fontId="4" fillId="0" borderId="10" xfId="60" applyNumberFormat="1" applyFont="1" applyFill="1" applyBorder="1" applyAlignment="1">
      <alignment horizontal="center" vertical="center" wrapText="1"/>
      <protection/>
    </xf>
    <xf numFmtId="0" fontId="4" fillId="33" borderId="10" xfId="60" applyNumberFormat="1" applyFont="1" applyFill="1" applyBorder="1" applyAlignment="1">
      <alignment horizontal="center" vertical="center" wrapText="1"/>
      <protection/>
    </xf>
    <xf numFmtId="0" fontId="11" fillId="38" borderId="10" xfId="0" applyFont="1" applyFill="1" applyBorder="1" applyAlignment="1">
      <alignment horizontal="center" vertical="center"/>
    </xf>
    <xf numFmtId="2" fontId="4" fillId="33" borderId="10" xfId="60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1" fontId="4" fillId="0" borderId="10" xfId="65" applyNumberFormat="1" applyFont="1" applyFill="1" applyBorder="1" applyAlignment="1">
      <alignment horizontal="center" vertical="center" wrapText="1"/>
      <protection/>
    </xf>
    <xf numFmtId="0" fontId="4" fillId="39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1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2" fontId="4" fillId="0" borderId="23" xfId="65" applyNumberFormat="1" applyFont="1" applyFill="1" applyBorder="1" applyAlignment="1">
      <alignment horizontal="center" vertical="center" wrapText="1"/>
      <protection/>
    </xf>
    <xf numFmtId="2" fontId="4" fillId="0" borderId="22" xfId="65" applyNumberFormat="1" applyFont="1" applyFill="1" applyBorder="1" applyAlignment="1">
      <alignment horizontal="center" vertical="center" wrapText="1"/>
      <protection/>
    </xf>
    <xf numFmtId="2" fontId="4" fillId="0" borderId="15" xfId="65" applyNumberFormat="1" applyFont="1" applyFill="1" applyBorder="1" applyAlignment="1">
      <alignment horizontal="center" vertical="center" wrapText="1"/>
      <protection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4" fillId="0" borderId="26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0" borderId="10" xfId="58" applyFont="1" applyFill="1" applyBorder="1" applyAlignment="1">
      <alignment horizontal="center" vertical="center" wrapText="1"/>
      <protection/>
    </xf>
    <xf numFmtId="0" fontId="10" fillId="0" borderId="33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6" xfId="65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left" vertical="center" wrapText="1"/>
    </xf>
    <xf numFmtId="0" fontId="2" fillId="34" borderId="17" xfId="64" applyFont="1" applyFill="1" applyBorder="1" applyAlignment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65" applyFont="1" applyFill="1" applyBorder="1" applyAlignment="1">
      <alignment horizontal="center" vertical="center" wrapText="1"/>
      <protection/>
    </xf>
    <xf numFmtId="0" fontId="2" fillId="34" borderId="18" xfId="65" applyFont="1" applyFill="1" applyBorder="1" applyAlignment="1">
      <alignment horizontal="center" vertical="center" wrapText="1"/>
      <protection/>
    </xf>
    <xf numFmtId="0" fontId="2" fillId="34" borderId="34" xfId="0" applyFont="1" applyFill="1" applyBorder="1" applyAlignment="1">
      <alignment horizontal="center" vertical="center" wrapText="1"/>
    </xf>
    <xf numFmtId="0" fontId="2" fillId="34" borderId="14" xfId="65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/>
    </xf>
    <xf numFmtId="0" fontId="4" fillId="0" borderId="23" xfId="0" applyFont="1" applyFill="1" applyBorder="1" applyAlignment="1">
      <alignment horizontal="center" vertical="center" textRotation="90" wrapText="1"/>
    </xf>
    <xf numFmtId="0" fontId="4" fillId="0" borderId="35" xfId="0" applyFont="1" applyFill="1" applyBorder="1" applyAlignment="1">
      <alignment horizontal="center" vertical="center" textRotation="90" wrapText="1"/>
    </xf>
    <xf numFmtId="0" fontId="19" fillId="0" borderId="0" xfId="0" applyFont="1" applyBorder="1" applyAlignment="1">
      <alignment/>
    </xf>
    <xf numFmtId="0" fontId="4" fillId="0" borderId="22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/>
    </xf>
    <xf numFmtId="12" fontId="4" fillId="0" borderId="10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/>
    </xf>
    <xf numFmtId="0" fontId="2" fillId="34" borderId="16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11" fillId="0" borderId="16" xfId="0" applyFont="1" applyFill="1" applyBorder="1" applyAlignment="1">
      <alignment horizontal="center" wrapText="1"/>
    </xf>
    <xf numFmtId="0" fontId="4" fillId="0" borderId="23" xfId="64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4" fillId="0" borderId="11" xfId="64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34" borderId="20" xfId="64" applyFont="1" applyFill="1" applyBorder="1" applyAlignment="1">
      <alignment horizontal="center" vertical="center" wrapText="1"/>
      <protection/>
    </xf>
    <xf numFmtId="0" fontId="2" fillId="34" borderId="20" xfId="65" applyFont="1" applyFill="1" applyBorder="1" applyAlignment="1">
      <alignment horizontal="center" vertical="center" wrapText="1"/>
      <protection/>
    </xf>
    <xf numFmtId="0" fontId="4" fillId="0" borderId="10" xfId="64" applyNumberFormat="1" applyFont="1" applyFill="1" applyBorder="1" applyAlignment="1">
      <alignment horizontal="center" vertical="center" wrapText="1"/>
      <protection/>
    </xf>
    <xf numFmtId="0" fontId="4" fillId="0" borderId="15" xfId="64" applyNumberFormat="1" applyFont="1" applyFill="1" applyBorder="1" applyAlignment="1">
      <alignment horizontal="center" vertical="center" wrapText="1"/>
      <protection/>
    </xf>
    <xf numFmtId="0" fontId="2" fillId="0" borderId="31" xfId="66" applyFont="1" applyFill="1" applyBorder="1" applyAlignment="1">
      <alignment horizontal="center" vertical="center" wrapText="1"/>
      <protection/>
    </xf>
    <xf numFmtId="0" fontId="2" fillId="34" borderId="23" xfId="64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17" fontId="4" fillId="0" borderId="11" xfId="0" applyNumberFormat="1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49" fontId="4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0" fontId="4" fillId="0" borderId="11" xfId="65" applyFont="1" applyFill="1" applyBorder="1" applyAlignment="1">
      <alignment horizontal="center" vertical="center" wrapText="1"/>
      <protection/>
    </xf>
    <xf numFmtId="0" fontId="4" fillId="0" borderId="10" xfId="59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4" fillId="0" borderId="10" xfId="59" applyFont="1" applyFill="1" applyBorder="1" applyAlignment="1" applyProtection="1">
      <alignment horizontal="center" vertical="center" wrapText="1"/>
      <protection locked="0"/>
    </xf>
    <xf numFmtId="2" fontId="11" fillId="0" borderId="10" xfId="59" applyNumberFormat="1" applyFon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Fill="1" applyBorder="1" applyAlignment="1">
      <alignment horizontal="center" vertical="center"/>
    </xf>
    <xf numFmtId="0" fontId="2" fillId="35" borderId="36" xfId="65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34" borderId="12" xfId="65" applyFont="1" applyFill="1" applyBorder="1" applyAlignment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2" fillId="34" borderId="36" xfId="65" applyFont="1" applyFill="1" applyBorder="1" applyAlignment="1">
      <alignment horizontal="center" vertical="center" wrapText="1"/>
      <protection/>
    </xf>
    <xf numFmtId="0" fontId="11" fillId="33" borderId="0" xfId="0" applyFont="1" applyFill="1" applyAlignment="1">
      <alignment/>
    </xf>
    <xf numFmtId="1" fontId="4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0" fontId="4" fillId="0" borderId="20" xfId="65" applyFont="1" applyFill="1" applyBorder="1" applyAlignment="1">
      <alignment horizontal="center" vertical="center" wrapText="1"/>
      <protection/>
    </xf>
    <xf numFmtId="0" fontId="4" fillId="33" borderId="18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2" fillId="34" borderId="19" xfId="65" applyFont="1" applyFill="1" applyBorder="1" applyAlignment="1">
      <alignment horizontal="center" vertical="center" wrapText="1"/>
      <protection/>
    </xf>
    <xf numFmtId="0" fontId="2" fillId="34" borderId="21" xfId="65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7" xfId="0" applyFont="1" applyFill="1" applyBorder="1" applyAlignment="1">
      <alignment horizontal="center" vertical="center"/>
    </xf>
    <xf numFmtId="0" fontId="2" fillId="0" borderId="12" xfId="59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/>
    </xf>
    <xf numFmtId="0" fontId="4" fillId="0" borderId="23" xfId="0" applyFont="1" applyFill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2" fontId="4" fillId="0" borderId="39" xfId="66" applyNumberFormat="1" applyFont="1" applyFill="1" applyBorder="1" applyAlignment="1">
      <alignment horizontal="center" vertical="center" wrapText="1"/>
      <protection/>
    </xf>
    <xf numFmtId="0" fontId="4" fillId="0" borderId="27" xfId="0" applyFont="1" applyFill="1" applyBorder="1" applyAlignment="1">
      <alignment horizontal="center" vertical="center"/>
    </xf>
    <xf numFmtId="0" fontId="4" fillId="0" borderId="27" xfId="66" applyFont="1" applyFill="1" applyBorder="1" applyAlignment="1">
      <alignment horizontal="center" vertical="center" wrapText="1"/>
      <protection/>
    </xf>
    <xf numFmtId="2" fontId="4" fillId="0" borderId="22" xfId="66" applyNumberFormat="1" applyFont="1" applyFill="1" applyBorder="1" applyAlignment="1">
      <alignment horizontal="center" vertical="center" wrapText="1"/>
      <protection/>
    </xf>
    <xf numFmtId="0" fontId="11" fillId="0" borderId="16" xfId="0" applyFont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0" fontId="4" fillId="33" borderId="10" xfId="59" applyFont="1" applyFill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/>
    </xf>
    <xf numFmtId="2" fontId="2" fillId="34" borderId="20" xfId="0" applyNumberFormat="1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2" fontId="4" fillId="0" borderId="20" xfId="0" applyNumberFormat="1" applyFont="1" applyBorder="1" applyAlignment="1">
      <alignment horizontal="center" vertical="center" wrapText="1"/>
    </xf>
    <xf numFmtId="17" fontId="4" fillId="0" borderId="10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/>
    </xf>
    <xf numFmtId="2" fontId="11" fillId="0" borderId="10" xfId="0" applyNumberFormat="1" applyFont="1" applyBorder="1" applyAlignment="1">
      <alignment horizontal="left" vertical="center" wrapText="1"/>
    </xf>
    <xf numFmtId="1" fontId="4" fillId="0" borderId="22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2" fontId="11" fillId="0" borderId="23" xfId="0" applyNumberFormat="1" applyFont="1" applyFill="1" applyBorder="1" applyAlignment="1">
      <alignment horizontal="center" vertical="center"/>
    </xf>
    <xf numFmtId="0" fontId="4" fillId="0" borderId="10" xfId="59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>
      <alignment horizontal="center" vertical="center"/>
    </xf>
    <xf numFmtId="0" fontId="2" fillId="33" borderId="15" xfId="65" applyFont="1" applyFill="1" applyBorder="1" applyAlignment="1">
      <alignment horizontal="center" vertical="center" wrapText="1"/>
      <protection/>
    </xf>
    <xf numFmtId="0" fontId="10" fillId="0" borderId="33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top"/>
    </xf>
    <xf numFmtId="0" fontId="11" fillId="0" borderId="10" xfId="0" applyFont="1" applyFill="1" applyBorder="1" applyAlignment="1">
      <alignment horizontal="center" vertical="top"/>
    </xf>
    <xf numFmtId="172" fontId="11" fillId="0" borderId="10" xfId="0" applyNumberFormat="1" applyFont="1" applyFill="1" applyBorder="1" applyAlignment="1">
      <alignment horizontal="center" vertical="top"/>
    </xf>
    <xf numFmtId="17" fontId="4" fillId="0" borderId="15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1" fillId="0" borderId="10" xfId="0" applyFont="1" applyBorder="1" applyAlignment="1">
      <alignment vertical="top"/>
    </xf>
    <xf numFmtId="0" fontId="11" fillId="0" borderId="10" xfId="0" applyFont="1" applyBorder="1" applyAlignment="1">
      <alignment horizontal="center" vertical="top"/>
    </xf>
    <xf numFmtId="172" fontId="11" fillId="0" borderId="10" xfId="0" applyNumberFormat="1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1" fillId="0" borderId="10" xfId="0" applyFont="1" applyBorder="1" applyAlignment="1">
      <alignment vertical="top" wrapText="1"/>
    </xf>
    <xf numFmtId="0" fontId="4" fillId="0" borderId="10" xfId="58" applyFont="1" applyFill="1" applyBorder="1" applyAlignment="1">
      <alignment horizontal="left" vertical="center" wrapText="1"/>
      <protection/>
    </xf>
    <xf numFmtId="0" fontId="11" fillId="0" borderId="22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top"/>
    </xf>
    <xf numFmtId="172" fontId="11" fillId="0" borderId="22" xfId="0" applyNumberFormat="1" applyFont="1" applyBorder="1" applyAlignment="1">
      <alignment horizontal="center" vertical="top"/>
    </xf>
    <xf numFmtId="17" fontId="4" fillId="0" borderId="22" xfId="0" applyNumberFormat="1" applyFont="1" applyFill="1" applyBorder="1" applyAlignment="1">
      <alignment horizontal="center" vertical="top" wrapText="1"/>
    </xf>
    <xf numFmtId="0" fontId="2" fillId="34" borderId="36" xfId="0" applyFont="1" applyFill="1" applyBorder="1" applyAlignment="1">
      <alignment horizontal="center" vertical="center"/>
    </xf>
    <xf numFmtId="0" fontId="2" fillId="34" borderId="13" xfId="64" applyFont="1" applyFill="1" applyBorder="1" applyAlignment="1">
      <alignment horizontal="center" vertical="center" wrapText="1"/>
      <protection/>
    </xf>
    <xf numFmtId="2" fontId="2" fillId="34" borderId="13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0" fillId="0" borderId="10" xfId="0" applyFont="1" applyFill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25" xfId="0" applyFont="1" applyBorder="1" applyAlignment="1">
      <alignment horizontal="center" vertical="top"/>
    </xf>
    <xf numFmtId="0" fontId="2" fillId="34" borderId="14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40" borderId="4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66" applyFont="1" applyFill="1" applyBorder="1" applyAlignment="1">
      <alignment horizontal="center" vertical="center" wrapText="1"/>
      <protection/>
    </xf>
    <xf numFmtId="0" fontId="2" fillId="0" borderId="17" xfId="0" applyFont="1" applyBorder="1" applyAlignment="1">
      <alignment horizontal="center" vertical="center" wrapText="1"/>
    </xf>
    <xf numFmtId="0" fontId="2" fillId="40" borderId="40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textRotation="90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25" fillId="33" borderId="10" xfId="64" applyFont="1" applyFill="1" applyBorder="1" applyAlignment="1">
      <alignment horizontal="center" vertical="center" wrapText="1"/>
      <protection/>
    </xf>
    <xf numFmtId="0" fontId="25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8" fillId="0" borderId="28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8" fillId="0" borderId="15" xfId="64" applyFont="1" applyFill="1" applyBorder="1" applyAlignment="1">
      <alignment horizontal="center" vertical="center" wrapText="1"/>
      <protection/>
    </xf>
    <xf numFmtId="2" fontId="8" fillId="0" borderId="10" xfId="0" applyNumberFormat="1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/>
    </xf>
    <xf numFmtId="0" fontId="6" fillId="33" borderId="10" xfId="66" applyFont="1" applyFill="1" applyBorder="1" applyAlignment="1">
      <alignment horizontal="center" vertical="center" wrapText="1"/>
      <protection/>
    </xf>
    <xf numFmtId="0" fontId="6" fillId="0" borderId="31" xfId="65" applyFont="1" applyFill="1" applyBorder="1" applyAlignment="1">
      <alignment horizontal="center" vertical="center" wrapText="1"/>
      <protection/>
    </xf>
    <xf numFmtId="0" fontId="8" fillId="0" borderId="10" xfId="65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60" applyFont="1" applyFill="1" applyBorder="1" applyAlignment="1">
      <alignment horizontal="center" vertical="center" wrapText="1"/>
      <protection/>
    </xf>
    <xf numFmtId="0" fontId="28" fillId="0" borderId="12" xfId="0" applyFont="1" applyFill="1" applyBorder="1" applyAlignment="1">
      <alignment horizontal="center"/>
    </xf>
    <xf numFmtId="0" fontId="8" fillId="0" borderId="10" xfId="64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12" fontId="8" fillId="0" borderId="10" xfId="0" applyNumberFormat="1" applyFont="1" applyFill="1" applyBorder="1" applyAlignment="1">
      <alignment horizontal="center" vertical="center" wrapText="1"/>
    </xf>
    <xf numFmtId="0" fontId="8" fillId="0" borderId="23" xfId="64" applyFont="1" applyFill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 horizontal="center" vertical="center" wrapText="1"/>
    </xf>
    <xf numFmtId="0" fontId="6" fillId="33" borderId="10" xfId="65" applyFont="1" applyFill="1" applyBorder="1" applyAlignment="1">
      <alignment horizontal="center" vertical="center" wrapText="1"/>
      <protection/>
    </xf>
    <xf numFmtId="0" fontId="8" fillId="33" borderId="16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0" xfId="64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7" borderId="12" xfId="65" applyFont="1" applyFill="1" applyBorder="1" applyAlignment="1">
      <alignment horizontal="center" vertical="center" wrapText="1"/>
      <protection/>
    </xf>
    <xf numFmtId="0" fontId="9" fillId="0" borderId="16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0" xfId="64" applyFont="1" applyFill="1" applyBorder="1" applyAlignment="1">
      <alignment horizontal="center" vertical="center" wrapText="1"/>
      <protection/>
    </xf>
    <xf numFmtId="0" fontId="8" fillId="0" borderId="2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2" fontId="8" fillId="0" borderId="10" xfId="60" applyNumberFormat="1" applyFont="1" applyFill="1" applyBorder="1" applyAlignment="1">
      <alignment horizontal="center" vertical="center" wrapText="1"/>
      <protection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0" xfId="65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6" fillId="40" borderId="40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textRotation="90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8" fillId="33" borderId="23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 wrapText="1"/>
    </xf>
    <xf numFmtId="0" fontId="6" fillId="0" borderId="10" xfId="58" applyFont="1" applyFill="1" applyBorder="1" applyAlignment="1">
      <alignment horizontal="center" vertical="center" wrapText="1"/>
      <protection/>
    </xf>
    <xf numFmtId="0" fontId="28" fillId="33" borderId="1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center" vertical="center"/>
    </xf>
    <xf numFmtId="1" fontId="9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58" applyNumberFormat="1" applyFont="1" applyFill="1" applyBorder="1" applyAlignment="1" applyProtection="1">
      <alignment horizontal="center" vertical="center" wrapText="1"/>
      <protection locked="0"/>
    </xf>
    <xf numFmtId="2" fontId="9" fillId="0" borderId="10" xfId="58" applyNumberFormat="1" applyFont="1" applyFill="1" applyBorder="1" applyAlignment="1" applyProtection="1">
      <alignment horizontal="center" vertical="center" wrapText="1"/>
      <protection locked="0"/>
    </xf>
    <xf numFmtId="2" fontId="8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2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Font="1" applyFill="1" applyBorder="1" applyAlignment="1">
      <alignment horizontal="center" vertical="center" wrapText="1"/>
    </xf>
    <xf numFmtId="2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33" borderId="10" xfId="59" applyNumberFormat="1" applyFont="1" applyFill="1" applyBorder="1" applyAlignment="1" applyProtection="1">
      <alignment horizontal="center" vertical="center" wrapText="1"/>
      <protection/>
    </xf>
    <xf numFmtId="0" fontId="6" fillId="33" borderId="10" xfId="58" applyFont="1" applyFill="1" applyBorder="1" applyAlignment="1">
      <alignment horizontal="center" vertical="center" wrapText="1"/>
      <protection/>
    </xf>
    <xf numFmtId="0" fontId="28" fillId="0" borderId="0" xfId="0" applyFont="1" applyBorder="1" applyAlignment="1">
      <alignment horizontal="center"/>
    </xf>
    <xf numFmtId="0" fontId="6" fillId="0" borderId="16" xfId="65" applyFont="1" applyFill="1" applyBorder="1" applyAlignment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28" fillId="33" borderId="10" xfId="58" applyFont="1" applyFill="1" applyBorder="1" applyAlignment="1">
      <alignment horizontal="center" vertical="center" wrapText="1"/>
      <protection/>
    </xf>
    <xf numFmtId="0" fontId="8" fillId="0" borderId="15" xfId="0" applyFont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10" xfId="58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center" vertical="center" wrapText="1"/>
      <protection/>
    </xf>
    <xf numFmtId="0" fontId="8" fillId="0" borderId="10" xfId="66" applyFont="1" applyFill="1" applyBorder="1" applyAlignment="1">
      <alignment horizontal="center" vertical="center" wrapText="1"/>
      <protection/>
    </xf>
    <xf numFmtId="0" fontId="6" fillId="0" borderId="10" xfId="58" applyNumberFormat="1" applyFont="1" applyFill="1" applyBorder="1" applyAlignment="1">
      <alignment horizontal="center" vertical="center" textRotation="255" wrapText="1"/>
      <protection/>
    </xf>
    <xf numFmtId="0" fontId="9" fillId="33" borderId="10" xfId="64" applyFont="1" applyFill="1" applyBorder="1" applyAlignment="1">
      <alignment horizontal="center" vertical="center" wrapText="1"/>
      <protection/>
    </xf>
    <xf numFmtId="1" fontId="8" fillId="0" borderId="10" xfId="0" applyNumberFormat="1" applyFont="1" applyFill="1" applyBorder="1" applyAlignment="1" applyProtection="1">
      <alignment horizontal="center" vertical="center" wrapText="1"/>
      <protection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66" applyFont="1" applyFill="1" applyBorder="1" applyAlignment="1">
      <alignment horizontal="center" vertical="top" wrapText="1"/>
      <protection/>
    </xf>
    <xf numFmtId="0" fontId="9" fillId="0" borderId="10" xfId="64" applyFont="1" applyFill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8" fillId="0" borderId="31" xfId="65" applyFont="1" applyFill="1" applyBorder="1" applyAlignment="1">
      <alignment horizontal="center" vertical="center" wrapText="1"/>
      <protection/>
    </xf>
    <xf numFmtId="0" fontId="6" fillId="0" borderId="23" xfId="0" applyFont="1" applyFill="1" applyBorder="1" applyAlignment="1">
      <alignment horizontal="center" vertical="center" textRotation="90"/>
    </xf>
    <xf numFmtId="0" fontId="8" fillId="33" borderId="24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textRotation="90"/>
    </xf>
    <xf numFmtId="0" fontId="6" fillId="33" borderId="23" xfId="0" applyFont="1" applyFill="1" applyBorder="1" applyAlignment="1">
      <alignment horizontal="center" vertical="center" textRotation="90" wrapText="1"/>
    </xf>
    <xf numFmtId="0" fontId="8" fillId="0" borderId="10" xfId="0" applyFont="1" applyBorder="1" applyAlignment="1" applyProtection="1">
      <alignment horizontal="center" vertical="center" wrapText="1"/>
      <protection/>
    </xf>
    <xf numFmtId="2" fontId="8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31" xfId="66" applyFont="1" applyFill="1" applyBorder="1" applyAlignment="1">
      <alignment horizontal="center" vertical="center" wrapText="1"/>
      <protection/>
    </xf>
    <xf numFmtId="49" fontId="8" fillId="33" borderId="15" xfId="0" applyNumberFormat="1" applyFont="1" applyFill="1" applyBorder="1" applyAlignment="1">
      <alignment horizontal="center" vertical="center" wrapText="1"/>
    </xf>
    <xf numFmtId="0" fontId="6" fillId="33" borderId="12" xfId="66" applyFont="1" applyFill="1" applyBorder="1" applyAlignment="1">
      <alignment horizontal="center" vertical="center" wrapText="1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0" fontId="8" fillId="33" borderId="38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/>
    </xf>
    <xf numFmtId="0" fontId="6" fillId="0" borderId="23" xfId="66" applyFont="1" applyFill="1" applyBorder="1" applyAlignment="1">
      <alignment horizontal="center" vertical="center" wrapText="1"/>
      <protection/>
    </xf>
    <xf numFmtId="1" fontId="9" fillId="0" borderId="23" xfId="58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58" applyNumberFormat="1" applyFont="1" applyFill="1" applyBorder="1" applyAlignment="1" applyProtection="1">
      <alignment horizontal="center" vertical="center" wrapText="1"/>
      <protection locked="0"/>
    </xf>
    <xf numFmtId="2" fontId="9" fillId="0" borderId="23" xfId="58" applyNumberFormat="1" applyFont="1" applyFill="1" applyBorder="1" applyAlignment="1" applyProtection="1">
      <alignment horizontal="center" vertical="center" wrapText="1"/>
      <protection locked="0"/>
    </xf>
    <xf numFmtId="0" fontId="6" fillId="0" borderId="23" xfId="58" applyFont="1" applyFill="1" applyBorder="1" applyAlignment="1">
      <alignment horizontal="center" vertical="center" wrapText="1"/>
      <protection/>
    </xf>
    <xf numFmtId="0" fontId="6" fillId="34" borderId="36" xfId="0" applyFont="1" applyFill="1" applyBorder="1" applyAlignment="1">
      <alignment horizontal="center" vertical="center" wrapText="1"/>
    </xf>
    <xf numFmtId="0" fontId="6" fillId="34" borderId="13" xfId="64" applyFont="1" applyFill="1" applyBorder="1" applyAlignment="1">
      <alignment horizontal="center" vertical="center" wrapText="1"/>
      <protection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0" fontId="5" fillId="33" borderId="23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33" borderId="10" xfId="65" applyFont="1" applyFill="1" applyBorder="1" applyAlignment="1">
      <alignment horizontal="center" vertical="center" wrapText="1"/>
      <protection/>
    </xf>
    <xf numFmtId="1" fontId="30" fillId="0" borderId="10" xfId="0" applyNumberFormat="1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0" fillId="33" borderId="31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2" fontId="25" fillId="33" borderId="10" xfId="0" applyNumberFormat="1" applyFont="1" applyFill="1" applyBorder="1" applyAlignment="1">
      <alignment horizontal="center" vertical="center" wrapText="1"/>
    </xf>
    <xf numFmtId="0" fontId="31" fillId="33" borderId="10" xfId="64" applyFont="1" applyFill="1" applyBorder="1" applyAlignment="1" applyProtection="1">
      <alignment wrapText="1"/>
      <protection/>
    </xf>
    <xf numFmtId="0" fontId="31" fillId="33" borderId="10" xfId="64" applyFont="1" applyFill="1" applyBorder="1" applyAlignment="1" applyProtection="1">
      <alignment horizontal="center" wrapText="1"/>
      <protection/>
    </xf>
    <xf numFmtId="0" fontId="31" fillId="33" borderId="10" xfId="0" applyFont="1" applyFill="1" applyBorder="1" applyAlignment="1" applyProtection="1">
      <alignment horizontal="center" vertical="center"/>
      <protection/>
    </xf>
    <xf numFmtId="1" fontId="4" fillId="0" borderId="10" xfId="60" applyNumberFormat="1" applyFont="1" applyFill="1" applyBorder="1" applyAlignment="1">
      <alignment horizontal="center" vertical="center" wrapText="1"/>
      <protection/>
    </xf>
    <xf numFmtId="0" fontId="31" fillId="33" borderId="10" xfId="64" applyFont="1" applyFill="1" applyBorder="1" applyAlignment="1" applyProtection="1">
      <alignment horizontal="center" vertical="center" wrapText="1"/>
      <protection/>
    </xf>
    <xf numFmtId="2" fontId="4" fillId="0" borderId="10" xfId="64" applyNumberFormat="1" applyFont="1" applyFill="1" applyBorder="1" applyAlignment="1">
      <alignment horizontal="center" vertical="center" wrapText="1"/>
      <protection/>
    </xf>
    <xf numFmtId="0" fontId="31" fillId="33" borderId="10" xfId="0" applyFont="1" applyFill="1" applyBorder="1" applyAlignment="1" applyProtection="1">
      <alignment/>
      <protection/>
    </xf>
    <xf numFmtId="0" fontId="30" fillId="33" borderId="31" xfId="66" applyFont="1" applyFill="1" applyBorder="1" applyAlignment="1">
      <alignment horizontal="center" vertical="center" wrapText="1"/>
      <protection/>
    </xf>
    <xf numFmtId="0" fontId="30" fillId="33" borderId="10" xfId="6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/>
    </xf>
    <xf numFmtId="0" fontId="16" fillId="0" borderId="0" xfId="0" applyFont="1" applyFill="1" applyAlignment="1">
      <alignment/>
    </xf>
    <xf numFmtId="2" fontId="30" fillId="33" borderId="10" xfId="0" applyNumberFormat="1" applyFont="1" applyFill="1" applyBorder="1" applyAlignment="1">
      <alignment horizontal="center" vertical="center" wrapText="1"/>
    </xf>
    <xf numFmtId="2" fontId="31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64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 applyProtection="1">
      <alignment horizontal="center" vertical="center"/>
      <protection/>
    </xf>
    <xf numFmtId="0" fontId="31" fillId="0" borderId="10" xfId="64" applyFont="1" applyFill="1" applyBorder="1" applyAlignment="1" applyProtection="1">
      <alignment horizontal="left" vertical="center" wrapText="1"/>
      <protection/>
    </xf>
    <xf numFmtId="2" fontId="31" fillId="0" borderId="10" xfId="0" applyNumberFormat="1" applyFont="1" applyFill="1" applyBorder="1" applyAlignment="1" applyProtection="1">
      <alignment horizontal="center" vertical="center"/>
      <protection/>
    </xf>
    <xf numFmtId="2" fontId="3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60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left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31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64" applyFont="1" applyFill="1" applyBorder="1" applyAlignment="1">
      <alignment vertical="center" wrapText="1"/>
      <protection/>
    </xf>
    <xf numFmtId="0" fontId="31" fillId="0" borderId="10" xfId="64" applyFont="1" applyFill="1" applyBorder="1" applyAlignment="1">
      <alignment horizontal="left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174" fontId="30" fillId="33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1" fillId="0" borderId="37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19" fillId="0" borderId="44" xfId="0" applyFont="1" applyBorder="1" applyAlignment="1">
      <alignment/>
    </xf>
    <xf numFmtId="0" fontId="11" fillId="0" borderId="29" xfId="0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11" fillId="0" borderId="12" xfId="0" applyFont="1" applyFill="1" applyBorder="1" applyAlignment="1">
      <alignment/>
    </xf>
    <xf numFmtId="0" fontId="34" fillId="33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31" fillId="0" borderId="10" xfId="0" applyFont="1" applyFill="1" applyBorder="1" applyAlignment="1">
      <alignment horizontal="center" vertical="center"/>
    </xf>
    <xf numFmtId="0" fontId="31" fillId="0" borderId="10" xfId="64" applyFont="1" applyFill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/>
    </xf>
    <xf numFmtId="0" fontId="2" fillId="37" borderId="12" xfId="65" applyFont="1" applyFill="1" applyBorder="1" applyAlignment="1">
      <alignment vertical="center" wrapText="1"/>
      <protection/>
    </xf>
    <xf numFmtId="0" fontId="11" fillId="0" borderId="12" xfId="0" applyFont="1" applyFill="1" applyBorder="1" applyAlignment="1">
      <alignment horizontal="left" vertical="center"/>
    </xf>
    <xf numFmtId="0" fontId="2" fillId="0" borderId="10" xfId="65" applyFont="1" applyFill="1" applyBorder="1" applyAlignment="1">
      <alignment horizontal="left" vertical="center" wrapText="1"/>
      <protection/>
    </xf>
    <xf numFmtId="0" fontId="2" fillId="0" borderId="10" xfId="66" applyFont="1" applyFill="1" applyBorder="1" applyAlignment="1">
      <alignment horizontal="left" vertical="center" wrapText="1"/>
      <protection/>
    </xf>
    <xf numFmtId="0" fontId="2" fillId="34" borderId="17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vertical="center"/>
    </xf>
    <xf numFmtId="0" fontId="19" fillId="0" borderId="44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30" fillId="0" borderId="10" xfId="60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vertical="center"/>
    </xf>
    <xf numFmtId="16" fontId="4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30" fillId="0" borderId="10" xfId="65" applyFont="1" applyFill="1" applyBorder="1" applyAlignment="1">
      <alignment horizontal="center" vertical="center" wrapText="1"/>
      <protection/>
    </xf>
    <xf numFmtId="0" fontId="2" fillId="34" borderId="18" xfId="0" applyFont="1" applyFill="1" applyBorder="1" applyAlignment="1">
      <alignment horizontal="center" vertical="center" wrapText="1"/>
    </xf>
    <xf numFmtId="0" fontId="2" fillId="40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1" fontId="4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58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58" applyNumberFormat="1" applyFont="1" applyFill="1" applyBorder="1" applyAlignment="1" applyProtection="1">
      <alignment horizontal="center" vertical="center" wrapText="1"/>
      <protection locked="0"/>
    </xf>
    <xf numFmtId="1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255" wrapText="1"/>
    </xf>
    <xf numFmtId="0" fontId="2" fillId="0" borderId="15" xfId="64" applyFont="1" applyFill="1" applyBorder="1" applyAlignment="1">
      <alignment horizontal="center" vertical="center" wrapText="1"/>
      <protection/>
    </xf>
    <xf numFmtId="2" fontId="4" fillId="33" borderId="10" xfId="64" applyNumberFormat="1" applyFont="1" applyFill="1" applyBorder="1" applyAlignment="1">
      <alignment horizontal="center" vertical="center" wrapText="1"/>
      <protection/>
    </xf>
    <xf numFmtId="1" fontId="4" fillId="33" borderId="10" xfId="64" applyNumberFormat="1" applyFont="1" applyFill="1" applyBorder="1" applyAlignment="1">
      <alignment horizontal="center" vertical="center" wrapText="1"/>
      <protection/>
    </xf>
    <xf numFmtId="0" fontId="2" fillId="33" borderId="10" xfId="64" applyFont="1" applyFill="1" applyBorder="1" applyAlignment="1">
      <alignment horizontal="center" vertical="center" wrapText="1"/>
      <protection/>
    </xf>
    <xf numFmtId="0" fontId="4" fillId="33" borderId="0" xfId="0" applyFont="1" applyFill="1" applyBorder="1" applyAlignment="1">
      <alignment horizontal="center" wrapText="1"/>
    </xf>
    <xf numFmtId="0" fontId="4" fillId="33" borderId="23" xfId="59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>
      <alignment horizontal="center" vertical="center" wrapText="1"/>
    </xf>
    <xf numFmtId="0" fontId="4" fillId="33" borderId="10" xfId="59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>
      <alignment horizontal="center" vertical="center" wrapText="1"/>
    </xf>
    <xf numFmtId="0" fontId="11" fillId="0" borderId="10" xfId="65" applyFont="1" applyFill="1" applyBorder="1" applyAlignment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 applyProtection="1">
      <alignment horizontal="center" vertical="center"/>
      <protection/>
    </xf>
    <xf numFmtId="2" fontId="11" fillId="0" borderId="10" xfId="65" applyNumberFormat="1" applyFont="1" applyFill="1" applyBorder="1" applyAlignment="1">
      <alignment horizontal="center" vertical="center" wrapText="1"/>
      <protection/>
    </xf>
    <xf numFmtId="1" fontId="4" fillId="0" borderId="10" xfId="64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" fillId="34" borderId="19" xfId="64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2" fontId="25" fillId="33" borderId="10" xfId="64" applyNumberFormat="1" applyFont="1" applyFill="1" applyBorder="1" applyAlignment="1">
      <alignment horizontal="center" vertical="center" wrapText="1"/>
      <protection/>
    </xf>
    <xf numFmtId="0" fontId="30" fillId="33" borderId="23" xfId="0" applyFont="1" applyFill="1" applyBorder="1" applyAlignment="1">
      <alignment horizontal="center" vertical="center" wrapText="1"/>
    </xf>
    <xf numFmtId="0" fontId="8" fillId="0" borderId="10" xfId="60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wrapText="1"/>
    </xf>
    <xf numFmtId="2" fontId="8" fillId="0" borderId="10" xfId="60" applyNumberFormat="1" applyFont="1" applyFill="1" applyBorder="1" applyAlignment="1">
      <alignment horizontal="center" vertical="center"/>
      <protection/>
    </xf>
    <xf numFmtId="2" fontId="30" fillId="0" borderId="10" xfId="0" applyNumberFormat="1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60" applyFont="1" applyFill="1" applyBorder="1" applyAlignment="1">
      <alignment horizontal="center" vertical="center"/>
      <protection/>
    </xf>
    <xf numFmtId="0" fontId="31" fillId="33" borderId="10" xfId="64" applyFont="1" applyFill="1" applyBorder="1" applyAlignment="1">
      <alignment horizontal="center" vertical="center" wrapText="1"/>
      <protection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65" applyFont="1" applyFill="1" applyBorder="1" applyAlignment="1">
      <alignment horizontal="center" vertical="center" wrapText="1"/>
      <protection/>
    </xf>
    <xf numFmtId="0" fontId="4" fillId="34" borderId="16" xfId="65" applyFont="1" applyFill="1" applyBorder="1" applyAlignment="1">
      <alignment horizontal="center" vertical="center" wrapText="1"/>
      <protection/>
    </xf>
    <xf numFmtId="1" fontId="25" fillId="33" borderId="10" xfId="0" applyNumberFormat="1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/>
    </xf>
    <xf numFmtId="0" fontId="5" fillId="33" borderId="23" xfId="59" applyFont="1" applyFill="1" applyBorder="1" applyAlignment="1" applyProtection="1">
      <alignment horizontal="center" vertical="center" wrapText="1"/>
      <protection/>
    </xf>
    <xf numFmtId="1" fontId="2" fillId="34" borderId="10" xfId="64" applyNumberFormat="1" applyFont="1" applyFill="1" applyBorder="1" applyAlignment="1">
      <alignment horizontal="center" vertical="center" wrapText="1"/>
      <protection/>
    </xf>
    <xf numFmtId="4" fontId="40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5" fillId="33" borderId="10" xfId="59" applyFont="1" applyFill="1" applyBorder="1" applyAlignment="1" applyProtection="1">
      <alignment horizontal="center" vertical="center" wrapText="1"/>
      <protection/>
    </xf>
    <xf numFmtId="174" fontId="30" fillId="0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1" fontId="4" fillId="0" borderId="23" xfId="60" applyNumberFormat="1" applyFont="1" applyFill="1" applyBorder="1" applyAlignment="1">
      <alignment horizontal="center" vertical="center" wrapText="1"/>
      <protection/>
    </xf>
    <xf numFmtId="0" fontId="4" fillId="0" borderId="23" xfId="60" applyFont="1" applyFill="1" applyBorder="1" applyAlignment="1">
      <alignment horizontal="center" vertical="center" wrapText="1"/>
      <protection/>
    </xf>
    <xf numFmtId="0" fontId="34" fillId="0" borderId="10" xfId="0" applyFont="1" applyBorder="1" applyAlignment="1">
      <alignment horizontal="left" vertical="center" wrapText="1"/>
    </xf>
    <xf numFmtId="0" fontId="4" fillId="0" borderId="10" xfId="60" applyFont="1" applyFill="1" applyBorder="1" applyAlignment="1">
      <alignment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4" fillId="0" borderId="23" xfId="0" applyFont="1" applyBorder="1" applyAlignment="1">
      <alignment horizontal="left" vertical="center" wrapText="1"/>
    </xf>
    <xf numFmtId="0" fontId="4" fillId="0" borderId="23" xfId="60" applyFont="1" applyFill="1" applyBorder="1" applyAlignment="1">
      <alignment vertical="center" wrapText="1"/>
      <protection/>
    </xf>
    <xf numFmtId="0" fontId="31" fillId="0" borderId="10" xfId="0" applyFont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65" applyFont="1" applyFill="1" applyBorder="1" applyAlignment="1">
      <alignment horizontal="center" vertical="center" wrapText="1"/>
      <protection/>
    </xf>
    <xf numFmtId="0" fontId="4" fillId="34" borderId="18" xfId="65" applyFont="1" applyFill="1" applyBorder="1" applyAlignment="1">
      <alignment horizontal="center" vertical="center" wrapText="1"/>
      <protection/>
    </xf>
    <xf numFmtId="0" fontId="4" fillId="34" borderId="36" xfId="65" applyFont="1" applyFill="1" applyBorder="1" applyAlignment="1">
      <alignment horizontal="center" vertical="center" wrapText="1"/>
      <protection/>
    </xf>
    <xf numFmtId="0" fontId="4" fillId="34" borderId="13" xfId="65" applyFont="1" applyFill="1" applyBorder="1" applyAlignment="1">
      <alignment horizontal="center" vertical="center" wrapText="1"/>
      <protection/>
    </xf>
    <xf numFmtId="1" fontId="2" fillId="34" borderId="13" xfId="65" applyNumberFormat="1" applyFont="1" applyFill="1" applyBorder="1" applyAlignment="1">
      <alignment horizontal="center" vertical="center" wrapText="1"/>
      <protection/>
    </xf>
    <xf numFmtId="0" fontId="4" fillId="34" borderId="14" xfId="65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wrapText="1"/>
    </xf>
    <xf numFmtId="2" fontId="31" fillId="33" borderId="10" xfId="64" applyNumberFormat="1" applyFont="1" applyFill="1" applyBorder="1" applyAlignment="1">
      <alignment horizontal="center" vertical="center" wrapText="1"/>
      <protection/>
    </xf>
    <xf numFmtId="174" fontId="31" fillId="33" borderId="10" xfId="64" applyNumberFormat="1" applyFont="1" applyFill="1" applyBorder="1" applyAlignment="1">
      <alignment horizontal="center" vertical="center" wrapText="1"/>
      <protection/>
    </xf>
    <xf numFmtId="2" fontId="31" fillId="33" borderId="15" xfId="64" applyNumberFormat="1" applyFont="1" applyFill="1" applyBorder="1" applyAlignment="1">
      <alignment horizontal="center" vertical="center" wrapText="1"/>
      <protection/>
    </xf>
    <xf numFmtId="0" fontId="4" fillId="0" borderId="16" xfId="0" applyFont="1" applyFill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33" borderId="16" xfId="0" applyFont="1" applyFill="1" applyBorder="1" applyAlignment="1">
      <alignment wrapText="1"/>
    </xf>
    <xf numFmtId="49" fontId="4" fillId="33" borderId="10" xfId="65" applyNumberFormat="1" applyFont="1" applyFill="1" applyBorder="1" applyAlignment="1">
      <alignment horizontal="center" vertical="center" wrapText="1"/>
      <protection/>
    </xf>
    <xf numFmtId="0" fontId="4" fillId="33" borderId="31" xfId="65" applyFont="1" applyFill="1" applyBorder="1" applyAlignment="1">
      <alignment horizontal="center" vertical="center" wrapText="1"/>
      <protection/>
    </xf>
    <xf numFmtId="0" fontId="31" fillId="33" borderId="15" xfId="0" applyFont="1" applyFill="1" applyBorder="1" applyAlignment="1">
      <alignment horizontal="center" vertical="center" wrapText="1"/>
    </xf>
    <xf numFmtId="2" fontId="31" fillId="33" borderId="23" xfId="64" applyNumberFormat="1" applyFont="1" applyFill="1" applyBorder="1" applyAlignment="1">
      <alignment horizontal="center" vertical="center" wrapText="1"/>
      <protection/>
    </xf>
    <xf numFmtId="0" fontId="31" fillId="33" borderId="23" xfId="64" applyFont="1" applyFill="1" applyBorder="1" applyAlignment="1">
      <alignment horizontal="center" vertical="center" wrapText="1"/>
      <protection/>
    </xf>
    <xf numFmtId="0" fontId="31" fillId="33" borderId="10" xfId="65" applyFont="1" applyFill="1" applyBorder="1" applyAlignment="1">
      <alignment horizontal="center" vertical="center" wrapText="1"/>
      <protection/>
    </xf>
    <xf numFmtId="0" fontId="2" fillId="33" borderId="22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" fillId="34" borderId="21" xfId="65" applyFont="1" applyFill="1" applyBorder="1" applyAlignment="1">
      <alignment horizontal="center" vertical="center" wrapText="1"/>
      <protection/>
    </xf>
    <xf numFmtId="0" fontId="2" fillId="0" borderId="3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vertical="center"/>
    </xf>
    <xf numFmtId="0" fontId="4" fillId="33" borderId="46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0" fillId="0" borderId="10" xfId="66" applyFont="1" applyFill="1" applyBorder="1" applyAlignment="1">
      <alignment horizontal="center" vertical="center" wrapText="1"/>
      <protection/>
    </xf>
    <xf numFmtId="0" fontId="23" fillId="0" borderId="23" xfId="0" applyFont="1" applyFill="1" applyBorder="1" applyAlignment="1">
      <alignment horizontal="center" vertical="center" wrapText="1"/>
    </xf>
    <xf numFmtId="0" fontId="4" fillId="33" borderId="38" xfId="59" applyFont="1" applyFill="1" applyBorder="1" applyAlignment="1" applyProtection="1">
      <alignment horizontal="center" vertical="center" wrapText="1"/>
      <protection/>
    </xf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textRotation="90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left" vertical="center"/>
    </xf>
    <xf numFmtId="0" fontId="43" fillId="0" borderId="12" xfId="0" applyFont="1" applyBorder="1" applyAlignment="1">
      <alignment horizontal="left" vertical="center" wrapText="1"/>
    </xf>
    <xf numFmtId="0" fontId="20" fillId="0" borderId="12" xfId="0" applyFont="1" applyFill="1" applyBorder="1" applyAlignment="1">
      <alignment vertical="center"/>
    </xf>
    <xf numFmtId="0" fontId="20" fillId="0" borderId="33" xfId="0" applyFont="1" applyFill="1" applyBorder="1" applyAlignment="1">
      <alignment vertical="center"/>
    </xf>
    <xf numFmtId="0" fontId="43" fillId="0" borderId="10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wrapText="1"/>
    </xf>
    <xf numFmtId="0" fontId="4" fillId="33" borderId="23" xfId="65" applyFont="1" applyFill="1" applyBorder="1" applyAlignment="1">
      <alignment horizontal="center" vertical="center" wrapText="1"/>
      <protection/>
    </xf>
    <xf numFmtId="0" fontId="4" fillId="0" borderId="26" xfId="0" applyFont="1" applyFill="1" applyBorder="1" applyAlignment="1">
      <alignment horizontal="center" wrapText="1"/>
    </xf>
    <xf numFmtId="0" fontId="4" fillId="33" borderId="22" xfId="65" applyFont="1" applyFill="1" applyBorder="1" applyAlignment="1">
      <alignment horizontal="center" vertical="center" wrapText="1"/>
      <protection/>
    </xf>
    <xf numFmtId="0" fontId="4" fillId="33" borderId="15" xfId="65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/>
    </xf>
    <xf numFmtId="0" fontId="2" fillId="33" borderId="31" xfId="66" applyFont="1" applyFill="1" applyBorder="1" applyAlignment="1">
      <alignment horizontal="center" vertical="center" wrapText="1"/>
      <protection/>
    </xf>
    <xf numFmtId="0" fontId="4" fillId="33" borderId="27" xfId="0" applyFont="1" applyFill="1" applyBorder="1" applyAlignment="1">
      <alignment horizontal="center" vertical="center" wrapText="1"/>
    </xf>
    <xf numFmtId="0" fontId="4" fillId="39" borderId="10" xfId="65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34" borderId="23" xfId="65" applyFont="1" applyFill="1" applyBorder="1" applyAlignment="1">
      <alignment horizontal="center" vertical="center" wrapText="1"/>
      <protection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/>
    </xf>
    <xf numFmtId="0" fontId="43" fillId="33" borderId="10" xfId="64" applyFont="1" applyFill="1" applyBorder="1" applyAlignment="1">
      <alignment horizontal="center" vertical="center" wrapText="1"/>
      <protection/>
    </xf>
    <xf numFmtId="0" fontId="34" fillId="0" borderId="10" xfId="0" applyFont="1" applyBorder="1" applyAlignment="1">
      <alignment horizontal="center" vertical="center" wrapText="1"/>
    </xf>
    <xf numFmtId="0" fontId="31" fillId="33" borderId="16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35" borderId="36" xfId="65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4" fillId="33" borderId="22" xfId="0" applyNumberFormat="1" applyFont="1" applyFill="1" applyBorder="1" applyAlignment="1">
      <alignment horizontal="center" vertical="center" wrapText="1"/>
    </xf>
    <xf numFmtId="17" fontId="4" fillId="0" borderId="23" xfId="0" applyNumberFormat="1" applyFont="1" applyFill="1" applyBorder="1" applyAlignment="1">
      <alignment horizontal="center" vertical="center" wrapText="1"/>
    </xf>
    <xf numFmtId="0" fontId="30" fillId="0" borderId="15" xfId="65" applyFont="1" applyFill="1" applyBorder="1" applyAlignment="1">
      <alignment horizontal="center" vertical="center" wrapText="1"/>
      <protection/>
    </xf>
    <xf numFmtId="0" fontId="30" fillId="39" borderId="10" xfId="65" applyFont="1" applyFill="1" applyBorder="1" applyAlignment="1">
      <alignment horizontal="center" vertical="center" wrapText="1"/>
      <protection/>
    </xf>
    <xf numFmtId="0" fontId="30" fillId="39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vertical="center"/>
    </xf>
    <xf numFmtId="0" fontId="4" fillId="33" borderId="16" xfId="65" applyFont="1" applyFill="1" applyBorder="1" applyAlignment="1">
      <alignment horizontal="center" vertical="center" wrapText="1"/>
      <protection/>
    </xf>
    <xf numFmtId="0" fontId="2" fillId="0" borderId="12" xfId="59" applyFont="1" applyFill="1" applyBorder="1" applyAlignment="1" applyProtection="1">
      <alignment horizontal="left" vertical="center" wrapText="1"/>
      <protection/>
    </xf>
    <xf numFmtId="0" fontId="2" fillId="34" borderId="17" xfId="65" applyFont="1" applyFill="1" applyBorder="1" applyAlignment="1">
      <alignment horizontal="center" vertical="center" wrapText="1"/>
      <protection/>
    </xf>
    <xf numFmtId="0" fontId="31" fillId="33" borderId="1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4" fillId="34" borderId="12" xfId="65" applyFont="1" applyFill="1" applyBorder="1" applyAlignment="1">
      <alignment horizontal="center" vertical="center" wrapText="1"/>
      <protection/>
    </xf>
    <xf numFmtId="49" fontId="31" fillId="33" borderId="10" xfId="0" applyNumberFormat="1" applyFont="1" applyFill="1" applyBorder="1" applyAlignment="1">
      <alignment horizontal="center" vertical="center" wrapText="1"/>
    </xf>
    <xf numFmtId="49" fontId="31" fillId="33" borderId="10" xfId="0" applyNumberFormat="1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37" xfId="0" applyFont="1" applyFill="1" applyBorder="1" applyAlignment="1">
      <alignment vertical="center"/>
    </xf>
    <xf numFmtId="0" fontId="31" fillId="33" borderId="1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23" xfId="0" applyFont="1" applyFill="1" applyBorder="1" applyAlignment="1">
      <alignment horizontal="center" vertical="center"/>
    </xf>
    <xf numFmtId="2" fontId="4" fillId="33" borderId="23" xfId="65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/>
    </xf>
    <xf numFmtId="0" fontId="34" fillId="33" borderId="10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34" fillId="33" borderId="10" xfId="0" applyNumberFormat="1" applyFont="1" applyFill="1" applyBorder="1" applyAlignment="1">
      <alignment horizontal="center" vertical="center"/>
    </xf>
    <xf numFmtId="0" fontId="31" fillId="33" borderId="23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0" fontId="19" fillId="33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30" fillId="0" borderId="10" xfId="59" applyFont="1" applyFill="1" applyBorder="1" applyAlignment="1" applyProtection="1">
      <alignment horizontal="left" vertical="center" wrapText="1"/>
      <protection/>
    </xf>
    <xf numFmtId="0" fontId="19" fillId="0" borderId="16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center" vertical="center" wrapText="1"/>
    </xf>
    <xf numFmtId="0" fontId="30" fillId="0" borderId="12" xfId="59" applyFont="1" applyFill="1" applyBorder="1" applyAlignment="1" applyProtection="1">
      <alignment horizontal="left" vertical="center" wrapText="1"/>
      <protection/>
    </xf>
    <xf numFmtId="0" fontId="2" fillId="40" borderId="2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textRotation="90"/>
    </xf>
    <xf numFmtId="0" fontId="2" fillId="0" borderId="20" xfId="0" applyFont="1" applyFill="1" applyBorder="1" applyAlignment="1">
      <alignment horizontal="center" vertical="center" textRotation="90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6" xfId="57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62" applyFont="1" applyFill="1" applyBorder="1" applyAlignment="1" applyProtection="1">
      <alignment horizontal="center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2" fillId="41" borderId="10" xfId="0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3" fillId="0" borderId="10" xfId="0" applyFont="1" applyFill="1" applyBorder="1" applyAlignment="1">
      <alignment horizontal="center" vertical="center" textRotation="90"/>
    </xf>
    <xf numFmtId="2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47" xfId="0" applyFont="1" applyBorder="1" applyAlignment="1">
      <alignment horizontal="center"/>
    </xf>
    <xf numFmtId="0" fontId="34" fillId="0" borderId="12" xfId="0" applyFont="1" applyBorder="1" applyAlignment="1">
      <alignment horizontal="center" vertical="center" wrapText="1"/>
    </xf>
    <xf numFmtId="1" fontId="30" fillId="33" borderId="10" xfId="65" applyNumberFormat="1" applyFont="1" applyFill="1" applyBorder="1" applyAlignment="1">
      <alignment horizontal="center" vertical="center" wrapText="1"/>
      <protection/>
    </xf>
    <xf numFmtId="0" fontId="34" fillId="33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textRotation="90"/>
    </xf>
    <xf numFmtId="0" fontId="11" fillId="0" borderId="10" xfId="0" applyFont="1" applyBorder="1" applyAlignment="1">
      <alignment wrapText="1"/>
    </xf>
    <xf numFmtId="0" fontId="4" fillId="36" borderId="12" xfId="0" applyFont="1" applyFill="1" applyBorder="1" applyAlignment="1">
      <alignment horizontal="center" vertical="center" wrapText="1"/>
    </xf>
    <xf numFmtId="0" fontId="4" fillId="0" borderId="10" xfId="66" applyNumberFormat="1" applyFont="1" applyFill="1" applyBorder="1" applyAlignment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4" fillId="36" borderId="33" xfId="0" applyFont="1" applyFill="1" applyBorder="1" applyAlignment="1">
      <alignment/>
    </xf>
    <xf numFmtId="0" fontId="4" fillId="36" borderId="37" xfId="0" applyFont="1" applyFill="1" applyBorder="1" applyAlignment="1">
      <alignment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23" fillId="34" borderId="19" xfId="0" applyFont="1" applyFill="1" applyBorder="1" applyAlignment="1">
      <alignment horizontal="center" vertical="center"/>
    </xf>
    <xf numFmtId="0" fontId="23" fillId="34" borderId="20" xfId="65" applyFont="1" applyFill="1" applyBorder="1" applyAlignment="1">
      <alignment horizontal="center" vertical="center" wrapText="1"/>
      <protection/>
    </xf>
    <xf numFmtId="0" fontId="23" fillId="34" borderId="20" xfId="64" applyFont="1" applyFill="1" applyBorder="1" applyAlignment="1">
      <alignment horizontal="center" vertical="center" wrapText="1"/>
      <protection/>
    </xf>
    <xf numFmtId="2" fontId="23" fillId="34" borderId="20" xfId="0" applyNumberFormat="1" applyFont="1" applyFill="1" applyBorder="1" applyAlignment="1">
      <alignment horizontal="center" vertical="center"/>
    </xf>
    <xf numFmtId="0" fontId="23" fillId="34" borderId="20" xfId="0" applyFont="1" applyFill="1" applyBorder="1" applyAlignment="1">
      <alignment horizontal="center" vertical="center"/>
    </xf>
    <xf numFmtId="0" fontId="23" fillId="34" borderId="21" xfId="0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left" wrapText="1"/>
    </xf>
    <xf numFmtId="0" fontId="2" fillId="0" borderId="48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center" textRotation="90"/>
    </xf>
    <xf numFmtId="0" fontId="23" fillId="0" borderId="23" xfId="0" applyFont="1" applyFill="1" applyBorder="1" applyAlignment="1">
      <alignment horizontal="center" vertical="center" textRotation="90"/>
    </xf>
    <xf numFmtId="0" fontId="34" fillId="33" borderId="49" xfId="0" applyFont="1" applyFill="1" applyBorder="1" applyAlignment="1">
      <alignment horizontal="center" vertical="center"/>
    </xf>
    <xf numFmtId="0" fontId="34" fillId="33" borderId="39" xfId="0" applyFont="1" applyFill="1" applyBorder="1" applyAlignment="1">
      <alignment horizontal="center" vertical="center"/>
    </xf>
    <xf numFmtId="2" fontId="34" fillId="33" borderId="22" xfId="0" applyNumberFormat="1" applyFont="1" applyFill="1" applyBorder="1" applyAlignment="1">
      <alignment horizontal="center" vertical="center"/>
    </xf>
    <xf numFmtId="0" fontId="34" fillId="33" borderId="27" xfId="0" applyFont="1" applyFill="1" applyBorder="1" applyAlignment="1">
      <alignment vertical="center"/>
    </xf>
    <xf numFmtId="0" fontId="34" fillId="33" borderId="15" xfId="0" applyFont="1" applyFill="1" applyBorder="1" applyAlignment="1">
      <alignment horizontal="center" vertical="center" wrapText="1"/>
    </xf>
    <xf numFmtId="2" fontId="34" fillId="33" borderId="15" xfId="0" applyNumberFormat="1" applyFont="1" applyFill="1" applyBorder="1" applyAlignment="1">
      <alignment horizontal="center" vertical="center"/>
    </xf>
    <xf numFmtId="2" fontId="34" fillId="33" borderId="10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2" fontId="34" fillId="0" borderId="10" xfId="0" applyNumberFormat="1" applyFont="1" applyBorder="1" applyAlignment="1">
      <alignment horizontal="center" vertical="center" wrapText="1"/>
    </xf>
    <xf numFmtId="0" fontId="31" fillId="33" borderId="10" xfId="66" applyFont="1" applyFill="1" applyBorder="1" applyAlignment="1">
      <alignment horizontal="center" vertical="center" wrapText="1"/>
      <protection/>
    </xf>
    <xf numFmtId="0" fontId="4" fillId="33" borderId="5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vertical="center" wrapText="1"/>
    </xf>
    <xf numFmtId="2" fontId="34" fillId="0" borderId="10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0" fontId="46" fillId="33" borderId="10" xfId="0" applyFont="1" applyFill="1" applyBorder="1" applyAlignment="1">
      <alignment horizontal="center" vertical="center" wrapText="1"/>
    </xf>
    <xf numFmtId="0" fontId="4" fillId="0" borderId="27" xfId="57" applyNumberFormat="1" applyFont="1" applyFill="1" applyBorder="1" applyAlignment="1">
      <alignment horizontal="center" vertical="center" wrapText="1"/>
      <protection/>
    </xf>
    <xf numFmtId="0" fontId="4" fillId="0" borderId="10" xfId="57" applyNumberFormat="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/>
    </xf>
    <xf numFmtId="0" fontId="30" fillId="0" borderId="10" xfId="0" applyFont="1" applyFill="1" applyBorder="1" applyAlignment="1" applyProtection="1">
      <alignment vertical="center" wrapText="1"/>
      <protection/>
    </xf>
    <xf numFmtId="0" fontId="30" fillId="0" borderId="10" xfId="0" applyFont="1" applyFill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 applyProtection="1">
      <alignment horizontal="left" vertical="center"/>
      <protection/>
    </xf>
    <xf numFmtId="0" fontId="23" fillId="0" borderId="10" xfId="0" applyFont="1" applyFill="1" applyBorder="1" applyAlignment="1">
      <alignment horizontal="center" vertical="center"/>
    </xf>
    <xf numFmtId="0" fontId="19" fillId="0" borderId="26" xfId="0" applyFont="1" applyBorder="1" applyAlignment="1">
      <alignment/>
    </xf>
    <xf numFmtId="0" fontId="19" fillId="0" borderId="46" xfId="0" applyFont="1" applyBorder="1" applyAlignment="1">
      <alignment/>
    </xf>
    <xf numFmtId="0" fontId="34" fillId="0" borderId="10" xfId="0" applyFont="1" applyFill="1" applyBorder="1" applyAlignment="1">
      <alignment horizontal="left" vertical="center" wrapText="1"/>
    </xf>
    <xf numFmtId="0" fontId="30" fillId="41" borderId="10" xfId="0" applyFont="1" applyFill="1" applyBorder="1" applyAlignment="1" applyProtection="1">
      <alignment vertical="center" wrapText="1"/>
      <protection/>
    </xf>
    <xf numFmtId="0" fontId="4" fillId="0" borderId="50" xfId="0" applyFont="1" applyFill="1" applyBorder="1" applyAlignment="1">
      <alignment horizontal="center" vertical="center" wrapText="1"/>
    </xf>
    <xf numFmtId="0" fontId="4" fillId="0" borderId="50" xfId="0" applyNumberFormat="1" applyFont="1" applyFill="1" applyBorder="1" applyAlignment="1">
      <alignment horizontal="center" vertical="center" wrapText="1"/>
    </xf>
    <xf numFmtId="0" fontId="19" fillId="0" borderId="25" xfId="0" applyFont="1" applyBorder="1" applyAlignment="1">
      <alignment/>
    </xf>
    <xf numFmtId="0" fontId="23" fillId="0" borderId="23" xfId="0" applyFont="1" applyFill="1" applyBorder="1" applyAlignment="1">
      <alignment vertical="center"/>
    </xf>
    <xf numFmtId="0" fontId="23" fillId="34" borderId="36" xfId="0" applyFont="1" applyFill="1" applyBorder="1" applyAlignment="1">
      <alignment horizontal="center" vertical="center"/>
    </xf>
    <xf numFmtId="0" fontId="23" fillId="34" borderId="13" xfId="65" applyFont="1" applyFill="1" applyBorder="1" applyAlignment="1">
      <alignment horizontal="center" vertical="center" wrapText="1"/>
      <protection/>
    </xf>
    <xf numFmtId="0" fontId="23" fillId="34" borderId="13" xfId="64" applyFont="1" applyFill="1" applyBorder="1" applyAlignment="1">
      <alignment horizontal="center" vertical="center" wrapText="1"/>
      <protection/>
    </xf>
    <xf numFmtId="2" fontId="23" fillId="34" borderId="13" xfId="0" applyNumberFormat="1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/>
    </xf>
    <xf numFmtId="0" fontId="23" fillId="34" borderId="40" xfId="0" applyFont="1" applyFill="1" applyBorder="1" applyAlignment="1">
      <alignment horizontal="center" vertical="center"/>
    </xf>
    <xf numFmtId="0" fontId="30" fillId="34" borderId="14" xfId="0" applyFont="1" applyFill="1" applyBorder="1" applyAlignment="1">
      <alignment horizontal="center" vertical="center"/>
    </xf>
    <xf numFmtId="0" fontId="2" fillId="40" borderId="21" xfId="0" applyFont="1" applyFill="1" applyBorder="1" applyAlignment="1">
      <alignment horizontal="center" vertical="top" wrapText="1"/>
    </xf>
    <xf numFmtId="2" fontId="4" fillId="33" borderId="23" xfId="64" applyNumberFormat="1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 vertical="center" wrapText="1"/>
    </xf>
    <xf numFmtId="2" fontId="4" fillId="33" borderId="22" xfId="64" applyNumberFormat="1" applyFont="1" applyFill="1" applyBorder="1" applyAlignment="1">
      <alignment horizontal="center" vertical="center" wrapText="1"/>
      <protection/>
    </xf>
    <xf numFmtId="17" fontId="4" fillId="33" borderId="10" xfId="66" applyNumberFormat="1" applyFont="1" applyFill="1" applyBorder="1" applyAlignment="1">
      <alignment horizontal="center" vertical="center" wrapText="1"/>
      <protection/>
    </xf>
    <xf numFmtId="0" fontId="4" fillId="33" borderId="16" xfId="66" applyFont="1" applyFill="1" applyBorder="1" applyAlignment="1">
      <alignment horizontal="center" vertical="center" wrapText="1"/>
      <protection/>
    </xf>
    <xf numFmtId="0" fontId="4" fillId="33" borderId="22" xfId="64" applyFont="1" applyFill="1" applyBorder="1" applyAlignment="1">
      <alignment horizontal="center" vertical="center" wrapText="1"/>
      <protection/>
    </xf>
    <xf numFmtId="2" fontId="4" fillId="33" borderId="15" xfId="64" applyNumberFormat="1" applyFont="1" applyFill="1" applyBorder="1" applyAlignment="1">
      <alignment horizontal="center" vertical="center" wrapText="1"/>
      <protection/>
    </xf>
    <xf numFmtId="0" fontId="4" fillId="0" borderId="30" xfId="65" applyFont="1" applyFill="1" applyBorder="1" applyAlignment="1">
      <alignment horizontal="center" vertical="center" wrapText="1"/>
      <protection/>
    </xf>
    <xf numFmtId="0" fontId="2" fillId="0" borderId="10" xfId="58" applyFont="1" applyFill="1" applyBorder="1" applyAlignment="1" applyProtection="1">
      <alignment horizontal="center" vertical="center" wrapText="1"/>
      <protection/>
    </xf>
    <xf numFmtId="0" fontId="4" fillId="0" borderId="10" xfId="58" applyFont="1" applyFill="1" applyBorder="1" applyAlignment="1" applyProtection="1">
      <alignment horizontal="center" vertical="center" wrapText="1"/>
      <protection/>
    </xf>
    <xf numFmtId="0" fontId="4" fillId="0" borderId="23" xfId="58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2" fontId="2" fillId="34" borderId="21" xfId="0" applyNumberFormat="1" applyFont="1" applyFill="1" applyBorder="1" applyAlignment="1">
      <alignment horizontal="center" vertical="center" wrapText="1"/>
    </xf>
    <xf numFmtId="0" fontId="31" fillId="33" borderId="22" xfId="64" applyFont="1" applyFill="1" applyBorder="1" applyAlignment="1">
      <alignment horizontal="center" vertical="center" wrapText="1"/>
      <protection/>
    </xf>
    <xf numFmtId="0" fontId="4" fillId="0" borderId="2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/>
    </xf>
    <xf numFmtId="2" fontId="31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vertical="center" wrapText="1"/>
    </xf>
    <xf numFmtId="2" fontId="31" fillId="33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textRotation="255" wrapText="1"/>
    </xf>
    <xf numFmtId="0" fontId="30" fillId="0" borderId="10" xfId="0" applyNumberFormat="1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4" fillId="37" borderId="12" xfId="0" applyFont="1" applyFill="1" applyBorder="1" applyAlignment="1">
      <alignment vertical="center" wrapText="1"/>
    </xf>
    <xf numFmtId="0" fontId="2" fillId="37" borderId="10" xfId="58" applyFont="1" applyFill="1" applyBorder="1" applyAlignment="1">
      <alignment horizontal="center" vertical="center" wrapText="1"/>
      <protection/>
    </xf>
    <xf numFmtId="0" fontId="2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2" fontId="4" fillId="37" borderId="10" xfId="0" applyNumberFormat="1" applyFont="1" applyFill="1" applyBorder="1" applyAlignment="1">
      <alignment horizontal="center" vertical="center" wrapText="1"/>
    </xf>
    <xf numFmtId="2" fontId="4" fillId="37" borderId="16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2" fontId="30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30" fillId="0" borderId="10" xfId="58" applyFont="1" applyBorder="1" applyAlignment="1" applyProtection="1">
      <alignment vertical="center" wrapText="1"/>
      <protection/>
    </xf>
    <xf numFmtId="0" fontId="30" fillId="0" borderId="10" xfId="58" applyFont="1" applyBorder="1" applyAlignment="1" applyProtection="1">
      <alignment horizontal="center" vertical="center" wrapText="1"/>
      <protection/>
    </xf>
    <xf numFmtId="0" fontId="31" fillId="0" borderId="22" xfId="64" applyFont="1" applyFill="1" applyBorder="1" applyAlignment="1">
      <alignment horizontal="center" vertical="center" wrapText="1"/>
      <protection/>
    </xf>
    <xf numFmtId="0" fontId="31" fillId="0" borderId="15" xfId="64" applyFont="1" applyFill="1" applyBorder="1" applyAlignment="1">
      <alignment horizontal="center" vertical="center" wrapText="1"/>
      <protection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34" borderId="18" xfId="0" applyNumberFormat="1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/>
    </xf>
    <xf numFmtId="2" fontId="30" fillId="0" borderId="10" xfId="58" applyNumberFormat="1" applyFont="1" applyFill="1" applyBorder="1" applyAlignment="1" applyProtection="1">
      <alignment horizontal="right" vertical="center" wrapText="1"/>
      <protection locked="0"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Alignment="1">
      <alignment horizontal="center" vertical="top"/>
    </xf>
    <xf numFmtId="0" fontId="4" fillId="0" borderId="10" xfId="63" applyFont="1" applyFill="1" applyBorder="1" applyAlignment="1">
      <alignment horizontal="center" vertical="center" textRotation="90" wrapText="1"/>
      <protection/>
    </xf>
    <xf numFmtId="174" fontId="4" fillId="0" borderId="10" xfId="63" applyNumberFormat="1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 wrapText="1"/>
    </xf>
    <xf numFmtId="2" fontId="4" fillId="33" borderId="10" xfId="63" applyNumberFormat="1" applyFont="1" applyFill="1" applyBorder="1" applyAlignment="1">
      <alignment horizontal="center" vertical="center" wrapText="1"/>
      <protection/>
    </xf>
    <xf numFmtId="0" fontId="10" fillId="0" borderId="12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2" fillId="34" borderId="36" xfId="0" applyFont="1" applyFill="1" applyBorder="1" applyAlignment="1">
      <alignment vertical="center"/>
    </xf>
    <xf numFmtId="0" fontId="2" fillId="34" borderId="13" xfId="64" applyFont="1" applyFill="1" applyBorder="1" applyAlignment="1">
      <alignment vertical="center" wrapText="1"/>
      <protection/>
    </xf>
    <xf numFmtId="0" fontId="10" fillId="0" borderId="0" xfId="0" applyFont="1" applyAlignment="1">
      <alignment/>
    </xf>
    <xf numFmtId="0" fontId="4" fillId="0" borderId="10" xfId="65" applyFont="1" applyFill="1" applyBorder="1" applyAlignment="1">
      <alignment vertical="center" wrapText="1"/>
      <protection/>
    </xf>
    <xf numFmtId="0" fontId="30" fillId="0" borderId="10" xfId="0" applyFont="1" applyFill="1" applyBorder="1" applyAlignment="1">
      <alignment horizontal="center" vertical="center"/>
    </xf>
    <xf numFmtId="2" fontId="30" fillId="0" borderId="1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top"/>
    </xf>
    <xf numFmtId="0" fontId="19" fillId="0" borderId="16" xfId="0" applyFont="1" applyFill="1" applyBorder="1" applyAlignment="1">
      <alignment horizontal="center" vertical="top"/>
    </xf>
    <xf numFmtId="0" fontId="19" fillId="0" borderId="0" xfId="0" applyFont="1" applyFill="1" applyAlignment="1">
      <alignment vertical="top"/>
    </xf>
    <xf numFmtId="0" fontId="19" fillId="0" borderId="12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63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 vertical="top"/>
    </xf>
    <xf numFmtId="17" fontId="30" fillId="0" borderId="15" xfId="0" applyNumberFormat="1" applyFont="1" applyFill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/>
    </xf>
    <xf numFmtId="0" fontId="19" fillId="0" borderId="10" xfId="0" applyFont="1" applyBorder="1" applyAlignment="1">
      <alignment vertical="top"/>
    </xf>
    <xf numFmtId="172" fontId="19" fillId="0" borderId="10" xfId="0" applyNumberFormat="1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/>
    </xf>
    <xf numFmtId="0" fontId="19" fillId="0" borderId="16" xfId="0" applyFont="1" applyBorder="1" applyAlignment="1">
      <alignment horizontal="center" vertical="top"/>
    </xf>
    <xf numFmtId="0" fontId="19" fillId="0" borderId="0" xfId="0" applyFont="1" applyAlignment="1">
      <alignment vertical="top"/>
    </xf>
    <xf numFmtId="0" fontId="19" fillId="0" borderId="10" xfId="0" applyFont="1" applyBorder="1" applyAlignment="1">
      <alignment vertical="top" wrapText="1"/>
    </xf>
    <xf numFmtId="0" fontId="23" fillId="34" borderId="14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top" wrapText="1"/>
    </xf>
    <xf numFmtId="0" fontId="2" fillId="34" borderId="10" xfId="64" applyFont="1" applyFill="1" applyBorder="1" applyAlignment="1">
      <alignment horizontal="center" vertical="center" wrapText="1"/>
      <protection/>
    </xf>
    <xf numFmtId="0" fontId="4" fillId="0" borderId="23" xfId="64" applyFont="1" applyFill="1" applyBorder="1" applyAlignment="1">
      <alignment horizontal="center" vertical="center" wrapText="1"/>
      <protection/>
    </xf>
    <xf numFmtId="0" fontId="4" fillId="0" borderId="22" xfId="64" applyFont="1" applyFill="1" applyBorder="1" applyAlignment="1">
      <alignment horizontal="center" vertical="center" wrapText="1"/>
      <protection/>
    </xf>
    <xf numFmtId="0" fontId="4" fillId="0" borderId="15" xfId="64" applyFont="1" applyFill="1" applyBorder="1" applyAlignment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34" borderId="20" xfId="64" applyFont="1" applyFill="1" applyBorder="1" applyAlignment="1">
      <alignment horizontal="center" vertical="center" wrapText="1"/>
      <protection/>
    </xf>
    <xf numFmtId="0" fontId="2" fillId="34" borderId="20" xfId="65" applyFont="1" applyFill="1" applyBorder="1" applyAlignment="1">
      <alignment horizontal="center" vertical="center" wrapText="1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0" fontId="4" fillId="37" borderId="10" xfId="65" applyFont="1" applyFill="1" applyBorder="1" applyAlignment="1">
      <alignment horizontal="center" vertical="center" wrapText="1"/>
      <protection/>
    </xf>
    <xf numFmtId="0" fontId="4" fillId="37" borderId="16" xfId="65" applyFont="1" applyFill="1" applyBorder="1" applyAlignment="1">
      <alignment horizontal="center" vertical="center" wrapText="1"/>
      <protection/>
    </xf>
    <xf numFmtId="0" fontId="4" fillId="33" borderId="23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21" fillId="42" borderId="53" xfId="0" applyFont="1" applyFill="1" applyBorder="1" applyAlignment="1">
      <alignment horizontal="center" vertical="center" wrapText="1"/>
    </xf>
    <xf numFmtId="0" fontId="21" fillId="42" borderId="54" xfId="0" applyFont="1" applyFill="1" applyBorder="1" applyAlignment="1">
      <alignment horizontal="center" vertical="center" wrapText="1"/>
    </xf>
    <xf numFmtId="0" fontId="21" fillId="42" borderId="55" xfId="0" applyFont="1" applyFill="1" applyBorder="1" applyAlignment="1">
      <alignment horizontal="center" vertical="center" wrapText="1"/>
    </xf>
    <xf numFmtId="0" fontId="3" fillId="42" borderId="53" xfId="0" applyFont="1" applyFill="1" applyBorder="1" applyAlignment="1">
      <alignment horizontal="center" vertical="center" wrapText="1"/>
    </xf>
    <xf numFmtId="0" fontId="3" fillId="42" borderId="54" xfId="0" applyFont="1" applyFill="1" applyBorder="1" applyAlignment="1">
      <alignment horizontal="center" vertical="center" wrapText="1"/>
    </xf>
    <xf numFmtId="0" fontId="3" fillId="42" borderId="55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2" fontId="4" fillId="0" borderId="23" xfId="0" applyNumberFormat="1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40" borderId="53" xfId="0" applyFont="1" applyFill="1" applyBorder="1" applyAlignment="1">
      <alignment horizontal="center" vertical="center" wrapText="1"/>
    </xf>
    <xf numFmtId="0" fontId="3" fillId="40" borderId="54" xfId="0" applyFont="1" applyFill="1" applyBorder="1" applyAlignment="1">
      <alignment horizontal="center" vertical="center" wrapText="1"/>
    </xf>
    <xf numFmtId="0" fontId="3" fillId="40" borderId="56" xfId="0" applyFont="1" applyFill="1" applyBorder="1" applyAlignment="1">
      <alignment horizontal="center" vertical="center" wrapText="1"/>
    </xf>
    <xf numFmtId="0" fontId="3" fillId="40" borderId="40" xfId="0" applyFont="1" applyFill="1" applyBorder="1" applyAlignment="1">
      <alignment horizontal="center" vertical="center" wrapText="1"/>
    </xf>
    <xf numFmtId="0" fontId="3" fillId="40" borderId="5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7" fillId="42" borderId="53" xfId="0" applyFont="1" applyFill="1" applyBorder="1" applyAlignment="1">
      <alignment horizontal="center" vertical="center" wrapText="1"/>
    </xf>
    <xf numFmtId="0" fontId="27" fillId="42" borderId="54" xfId="0" applyFont="1" applyFill="1" applyBorder="1" applyAlignment="1">
      <alignment horizontal="center" vertical="center" wrapText="1"/>
    </xf>
    <xf numFmtId="0" fontId="27" fillId="42" borderId="55" xfId="0" applyFont="1" applyFill="1" applyBorder="1" applyAlignment="1">
      <alignment horizontal="center" vertical="center" wrapText="1"/>
    </xf>
    <xf numFmtId="0" fontId="6" fillId="42" borderId="53" xfId="0" applyFont="1" applyFill="1" applyBorder="1" applyAlignment="1">
      <alignment horizontal="center" vertical="center" wrapText="1"/>
    </xf>
    <xf numFmtId="0" fontId="6" fillId="42" borderId="54" xfId="0" applyFont="1" applyFill="1" applyBorder="1" applyAlignment="1">
      <alignment horizontal="center" vertical="center" wrapText="1"/>
    </xf>
    <xf numFmtId="0" fontId="6" fillId="42" borderId="55" xfId="0" applyFont="1" applyFill="1" applyBorder="1" applyAlignment="1">
      <alignment horizontal="center" vertical="center" wrapText="1"/>
    </xf>
    <xf numFmtId="0" fontId="6" fillId="40" borderId="40" xfId="0" applyFont="1" applyFill="1" applyBorder="1" applyAlignment="1">
      <alignment horizontal="center" vertical="center" wrapText="1"/>
    </xf>
    <xf numFmtId="0" fontId="6" fillId="40" borderId="54" xfId="0" applyFont="1" applyFill="1" applyBorder="1" applyAlignment="1">
      <alignment horizontal="center" vertical="center" wrapText="1"/>
    </xf>
    <xf numFmtId="0" fontId="6" fillId="40" borderId="56" xfId="0" applyFont="1" applyFill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8" fillId="0" borderId="23" xfId="64" applyFont="1" applyFill="1" applyBorder="1" applyAlignment="1">
      <alignment horizontal="center" vertical="center" wrapText="1"/>
      <protection/>
    </xf>
    <xf numFmtId="0" fontId="8" fillId="0" borderId="15" xfId="64" applyFont="1" applyFill="1" applyBorder="1" applyAlignment="1">
      <alignment horizontal="center" vertical="center" wrapText="1"/>
      <protection/>
    </xf>
    <xf numFmtId="0" fontId="6" fillId="0" borderId="4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37" borderId="27" xfId="65" applyFont="1" applyFill="1" applyBorder="1" applyAlignment="1">
      <alignment horizontal="center" vertical="center" wrapText="1"/>
      <protection/>
    </xf>
    <xf numFmtId="0" fontId="6" fillId="37" borderId="44" xfId="65" applyFont="1" applyFill="1" applyBorder="1" applyAlignment="1">
      <alignment horizontal="center" vertical="center" wrapText="1"/>
      <protection/>
    </xf>
    <xf numFmtId="0" fontId="6" fillId="37" borderId="59" xfId="65" applyFont="1" applyFill="1" applyBorder="1" applyAlignment="1">
      <alignment horizontal="center" vertical="center" wrapText="1"/>
      <protection/>
    </xf>
    <xf numFmtId="0" fontId="6" fillId="33" borderId="52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0" fontId="8" fillId="0" borderId="22" xfId="64" applyFont="1" applyFill="1" applyBorder="1" applyAlignment="1">
      <alignment horizontal="center" vertical="center" wrapText="1"/>
      <protection/>
    </xf>
    <xf numFmtId="0" fontId="6" fillId="34" borderId="27" xfId="64" applyFont="1" applyFill="1" applyBorder="1" applyAlignment="1">
      <alignment horizontal="center" vertical="center" wrapText="1"/>
      <protection/>
    </xf>
    <xf numFmtId="0" fontId="6" fillId="34" borderId="31" xfId="64" applyFont="1" applyFill="1" applyBorder="1" applyAlignment="1">
      <alignment horizontal="center" vertical="center" wrapText="1"/>
      <protection/>
    </xf>
    <xf numFmtId="0" fontId="8" fillId="0" borderId="23" xfId="65" applyFont="1" applyFill="1" applyBorder="1" applyAlignment="1">
      <alignment horizontal="center" vertical="center" wrapText="1"/>
      <protection/>
    </xf>
    <xf numFmtId="0" fontId="8" fillId="0" borderId="15" xfId="65" applyFont="1" applyFill="1" applyBorder="1" applyAlignment="1">
      <alignment horizontal="center" vertical="center" wrapText="1"/>
      <protection/>
    </xf>
    <xf numFmtId="0" fontId="8" fillId="33" borderId="23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6" fillId="34" borderId="40" xfId="64" applyFont="1" applyFill="1" applyBorder="1" applyAlignment="1">
      <alignment horizontal="center" vertical="center" wrapText="1"/>
      <protection/>
    </xf>
    <xf numFmtId="0" fontId="6" fillId="34" borderId="56" xfId="64" applyFont="1" applyFill="1" applyBorder="1" applyAlignment="1">
      <alignment horizontal="center" vertical="center" wrapText="1"/>
      <protection/>
    </xf>
    <xf numFmtId="0" fontId="6" fillId="34" borderId="40" xfId="65" applyFont="1" applyFill="1" applyBorder="1" applyAlignment="1">
      <alignment horizontal="center" vertical="center" wrapText="1"/>
      <protection/>
    </xf>
    <xf numFmtId="0" fontId="6" fillId="34" borderId="56" xfId="65" applyFont="1" applyFill="1" applyBorder="1" applyAlignment="1">
      <alignment horizontal="center" vertical="center" wrapText="1"/>
      <protection/>
    </xf>
    <xf numFmtId="0" fontId="26" fillId="42" borderId="53" xfId="0" applyFont="1" applyFill="1" applyBorder="1" applyAlignment="1">
      <alignment horizontal="center" vertical="center" wrapText="1"/>
    </xf>
    <xf numFmtId="0" fontId="26" fillId="42" borderId="54" xfId="0" applyFont="1" applyFill="1" applyBorder="1" applyAlignment="1">
      <alignment horizontal="center" vertical="center" wrapText="1"/>
    </xf>
    <xf numFmtId="0" fontId="2" fillId="42" borderId="53" xfId="0" applyFont="1" applyFill="1" applyBorder="1" applyAlignment="1">
      <alignment horizontal="center" vertical="center" wrapText="1"/>
    </xf>
    <xf numFmtId="0" fontId="2" fillId="42" borderId="54" xfId="0" applyFont="1" applyFill="1" applyBorder="1" applyAlignment="1">
      <alignment horizontal="center" vertical="center" wrapText="1"/>
    </xf>
    <xf numFmtId="0" fontId="2" fillId="40" borderId="40" xfId="0" applyFont="1" applyFill="1" applyBorder="1" applyAlignment="1">
      <alignment horizontal="center" vertical="center" wrapText="1"/>
    </xf>
    <xf numFmtId="0" fontId="2" fillId="40" borderId="54" xfId="0" applyFont="1" applyFill="1" applyBorder="1" applyAlignment="1">
      <alignment horizontal="center" vertical="center" wrapText="1"/>
    </xf>
    <xf numFmtId="0" fontId="2" fillId="40" borderId="5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0" xfId="64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2" fillId="34" borderId="11" xfId="64" applyFont="1" applyFill="1" applyBorder="1" applyAlignment="1">
      <alignment horizontal="center" vertical="center" wrapText="1"/>
      <protection/>
    </xf>
    <xf numFmtId="0" fontId="2" fillId="37" borderId="10" xfId="65" applyFont="1" applyFill="1" applyBorder="1" applyAlignment="1">
      <alignment horizontal="center" vertical="center" wrapText="1"/>
      <protection/>
    </xf>
    <xf numFmtId="0" fontId="30" fillId="33" borderId="23" xfId="0" applyFont="1" applyFill="1" applyBorder="1" applyAlignment="1">
      <alignment horizontal="center" vertical="center" wrapText="1"/>
    </xf>
    <xf numFmtId="0" fontId="30" fillId="33" borderId="22" xfId="0" applyFont="1" applyFill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40" borderId="40" xfId="0" applyFont="1" applyFill="1" applyBorder="1" applyAlignment="1">
      <alignment horizontal="center" vertical="top" wrapText="1"/>
    </xf>
    <xf numFmtId="0" fontId="2" fillId="40" borderId="54" xfId="0" applyFont="1" applyFill="1" applyBorder="1" applyAlignment="1">
      <alignment horizontal="center" vertical="top" wrapText="1"/>
    </xf>
    <xf numFmtId="0" fontId="2" fillId="40" borderId="56" xfId="0" applyFont="1" applyFill="1" applyBorder="1" applyAlignment="1">
      <alignment horizontal="center" vertical="top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4" fillId="0" borderId="23" xfId="65" applyFont="1" applyFill="1" applyBorder="1" applyAlignment="1">
      <alignment horizontal="center" vertical="center" wrapText="1"/>
      <protection/>
    </xf>
    <xf numFmtId="0" fontId="4" fillId="0" borderId="22" xfId="65" applyFont="1" applyFill="1" applyBorder="1" applyAlignment="1">
      <alignment horizontal="center" vertical="center" wrapText="1"/>
      <protection/>
    </xf>
    <xf numFmtId="0" fontId="4" fillId="0" borderId="15" xfId="65" applyFont="1" applyFill="1" applyBorder="1" applyAlignment="1">
      <alignment horizontal="center" vertical="center" wrapText="1"/>
      <protection/>
    </xf>
    <xf numFmtId="1" fontId="4" fillId="0" borderId="23" xfId="65" applyNumberFormat="1" applyFont="1" applyFill="1" applyBorder="1" applyAlignment="1">
      <alignment horizontal="center" vertical="center" wrapText="1"/>
      <protection/>
    </xf>
    <xf numFmtId="1" fontId="4" fillId="0" borderId="22" xfId="65" applyNumberFormat="1" applyFont="1" applyFill="1" applyBorder="1" applyAlignment="1">
      <alignment horizontal="center" vertical="center" wrapText="1"/>
      <protection/>
    </xf>
    <xf numFmtId="1" fontId="4" fillId="0" borderId="15" xfId="65" applyNumberFormat="1" applyFont="1" applyFill="1" applyBorder="1" applyAlignment="1">
      <alignment horizontal="center" vertical="center" wrapText="1"/>
      <protection/>
    </xf>
    <xf numFmtId="0" fontId="2" fillId="0" borderId="3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2" fontId="4" fillId="0" borderId="23" xfId="65" applyNumberFormat="1" applyFont="1" applyFill="1" applyBorder="1" applyAlignment="1">
      <alignment horizontal="center" vertical="center" wrapText="1"/>
      <protection/>
    </xf>
    <xf numFmtId="2" fontId="4" fillId="0" borderId="22" xfId="65" applyNumberFormat="1" applyFont="1" applyFill="1" applyBorder="1" applyAlignment="1">
      <alignment horizontal="center" vertical="center" wrapText="1"/>
      <protection/>
    </xf>
    <xf numFmtId="2" fontId="4" fillId="0" borderId="15" xfId="65" applyNumberFormat="1" applyFont="1" applyFill="1" applyBorder="1" applyAlignment="1">
      <alignment horizontal="center" vertical="center" wrapText="1"/>
      <protection/>
    </xf>
    <xf numFmtId="0" fontId="2" fillId="40" borderId="5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0" borderId="10" xfId="58" applyFont="1" applyFill="1" applyBorder="1" applyAlignment="1">
      <alignment horizontal="center" vertical="center" wrapText="1"/>
      <protection/>
    </xf>
    <xf numFmtId="0" fontId="2" fillId="0" borderId="10" xfId="65" applyFont="1" applyFill="1" applyBorder="1" applyAlignment="1">
      <alignment horizontal="center" vertical="center" wrapText="1"/>
      <protection/>
    </xf>
    <xf numFmtId="0" fontId="21" fillId="42" borderId="36" xfId="0" applyFont="1" applyFill="1" applyBorder="1" applyAlignment="1">
      <alignment horizontal="center" vertical="center" wrapText="1"/>
    </xf>
    <xf numFmtId="0" fontId="21" fillId="42" borderId="13" xfId="0" applyFont="1" applyFill="1" applyBorder="1" applyAlignment="1">
      <alignment horizontal="center" vertical="center" wrapText="1"/>
    </xf>
    <xf numFmtId="0" fontId="21" fillId="42" borderId="14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" fillId="34" borderId="36" xfId="65" applyFont="1" applyFill="1" applyBorder="1" applyAlignment="1">
      <alignment horizontal="center" vertical="center" wrapText="1"/>
      <protection/>
    </xf>
    <xf numFmtId="0" fontId="2" fillId="34" borderId="13" xfId="65" applyFont="1" applyFill="1" applyBorder="1" applyAlignment="1">
      <alignment horizontal="center" vertical="center" wrapText="1"/>
      <protection/>
    </xf>
    <xf numFmtId="0" fontId="2" fillId="42" borderId="55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2" fillId="0" borderId="23" xfId="65" applyFont="1" applyFill="1" applyBorder="1" applyAlignment="1">
      <alignment horizontal="center" vertical="center" wrapText="1"/>
      <protection/>
    </xf>
    <xf numFmtId="0" fontId="2" fillId="0" borderId="22" xfId="65" applyFont="1" applyFill="1" applyBorder="1" applyAlignment="1">
      <alignment horizontal="center" vertical="center" wrapText="1"/>
      <protection/>
    </xf>
    <xf numFmtId="0" fontId="2" fillId="0" borderId="15" xfId="65" applyFont="1" applyFill="1" applyBorder="1" applyAlignment="1">
      <alignment horizontal="center" vertical="center" wrapText="1"/>
      <protection/>
    </xf>
    <xf numFmtId="0" fontId="2" fillId="33" borderId="12" xfId="66" applyFont="1" applyFill="1" applyBorder="1" applyAlignment="1">
      <alignment vertical="center" wrapText="1"/>
      <protection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2" fillId="40" borderId="53" xfId="0" applyFont="1" applyFill="1" applyBorder="1" applyAlignment="1">
      <alignment horizontal="center" vertical="center" wrapText="1"/>
    </xf>
    <xf numFmtId="0" fontId="26" fillId="42" borderId="36" xfId="0" applyFont="1" applyFill="1" applyBorder="1" applyAlignment="1">
      <alignment horizontal="center" vertical="center" wrapText="1"/>
    </xf>
    <xf numFmtId="0" fontId="26" fillId="42" borderId="13" xfId="0" applyFont="1" applyFill="1" applyBorder="1" applyAlignment="1">
      <alignment horizontal="center" vertical="center" wrapText="1"/>
    </xf>
    <xf numFmtId="0" fontId="26" fillId="42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1" fontId="4" fillId="0" borderId="10" xfId="64" applyNumberFormat="1" applyFont="1" applyFill="1" applyBorder="1" applyAlignment="1">
      <alignment horizontal="center" vertical="center" wrapText="1"/>
      <protection/>
    </xf>
    <xf numFmtId="0" fontId="4" fillId="0" borderId="32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2" fontId="4" fillId="33" borderId="23" xfId="0" applyNumberFormat="1" applyFont="1" applyFill="1" applyBorder="1" applyAlignment="1">
      <alignment horizontal="center" vertical="center"/>
    </xf>
    <xf numFmtId="2" fontId="4" fillId="33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" fontId="4" fillId="0" borderId="23" xfId="64" applyNumberFormat="1" applyFont="1" applyFill="1" applyBorder="1" applyAlignment="1">
      <alignment horizontal="center" vertical="center" wrapText="1"/>
      <protection/>
    </xf>
    <xf numFmtId="1" fontId="4" fillId="0" borderId="22" xfId="64" applyNumberFormat="1" applyFont="1" applyFill="1" applyBorder="1" applyAlignment="1">
      <alignment horizontal="center" vertical="center" wrapText="1"/>
      <protection/>
    </xf>
    <xf numFmtId="0" fontId="32" fillId="42" borderId="36" xfId="0" applyFont="1" applyFill="1" applyBorder="1" applyAlignment="1">
      <alignment horizontal="center" vertical="center" wrapText="1"/>
    </xf>
    <xf numFmtId="0" fontId="32" fillId="42" borderId="13" xfId="0" applyFont="1" applyFill="1" applyBorder="1" applyAlignment="1">
      <alignment horizontal="center" vertical="center" wrapText="1"/>
    </xf>
    <xf numFmtId="0" fontId="32" fillId="42" borderId="14" xfId="0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4" fillId="0" borderId="23" xfId="60" applyFont="1" applyFill="1" applyBorder="1" applyAlignment="1">
      <alignment horizontal="center" vertical="center" wrapText="1"/>
      <protection/>
    </xf>
    <xf numFmtId="0" fontId="4" fillId="0" borderId="22" xfId="60" applyFont="1" applyFill="1" applyBorder="1" applyAlignment="1">
      <alignment horizontal="center" vertical="center" wrapText="1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23" xfId="58" applyFont="1" applyFill="1" applyBorder="1" applyAlignment="1">
      <alignment horizontal="center" vertical="center" wrapText="1"/>
      <protection/>
    </xf>
    <xf numFmtId="0" fontId="2" fillId="0" borderId="22" xfId="58" applyFont="1" applyFill="1" applyBorder="1" applyAlignment="1">
      <alignment horizontal="center" vertical="center" wrapText="1"/>
      <protection/>
    </xf>
    <xf numFmtId="0" fontId="2" fillId="0" borderId="15" xfId="58" applyFont="1" applyFill="1" applyBorder="1" applyAlignment="1">
      <alignment horizontal="center" vertical="center" wrapText="1"/>
      <protection/>
    </xf>
    <xf numFmtId="1" fontId="4" fillId="0" borderId="23" xfId="60" applyNumberFormat="1" applyFont="1" applyFill="1" applyBorder="1" applyAlignment="1">
      <alignment horizontal="center" vertical="center" wrapText="1"/>
      <protection/>
    </xf>
    <xf numFmtId="1" fontId="4" fillId="0" borderId="22" xfId="60" applyNumberFormat="1" applyFont="1" applyFill="1" applyBorder="1" applyAlignment="1">
      <alignment horizontal="center" vertical="center" wrapText="1"/>
      <protection/>
    </xf>
    <xf numFmtId="1" fontId="4" fillId="0" borderId="15" xfId="60" applyNumberFormat="1" applyFont="1" applyFill="1" applyBorder="1" applyAlignment="1">
      <alignment horizontal="center" vertical="center" wrapText="1"/>
      <protection/>
    </xf>
    <xf numFmtId="0" fontId="31" fillId="0" borderId="23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4" fillId="34" borderId="36" xfId="65" applyFont="1" applyFill="1" applyBorder="1" applyAlignment="1">
      <alignment horizontal="center" vertical="center" wrapText="1"/>
      <protection/>
    </xf>
    <xf numFmtId="0" fontId="4" fillId="34" borderId="13" xfId="65" applyFont="1" applyFill="1" applyBorder="1" applyAlignment="1">
      <alignment horizontal="center" vertical="center" wrapText="1"/>
      <protection/>
    </xf>
    <xf numFmtId="0" fontId="2" fillId="0" borderId="3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/>
    </xf>
    <xf numFmtId="2" fontId="4" fillId="33" borderId="23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42" borderId="37" xfId="0" applyFont="1" applyFill="1" applyBorder="1" applyAlignment="1">
      <alignment horizontal="center" vertical="center" wrapText="1"/>
    </xf>
    <xf numFmtId="0" fontId="3" fillId="42" borderId="22" xfId="0" applyFont="1" applyFill="1" applyBorder="1" applyAlignment="1">
      <alignment horizontal="center" vertical="center" wrapText="1"/>
    </xf>
    <xf numFmtId="0" fontId="3" fillId="42" borderId="25" xfId="0" applyFont="1" applyFill="1" applyBorder="1" applyAlignment="1">
      <alignment horizontal="center" vertical="center" wrapText="1"/>
    </xf>
    <xf numFmtId="0" fontId="2" fillId="35" borderId="13" xfId="65" applyFont="1" applyFill="1" applyBorder="1" applyAlignment="1">
      <alignment horizontal="center" vertical="center" wrapText="1"/>
      <protection/>
    </xf>
    <xf numFmtId="0" fontId="2" fillId="34" borderId="23" xfId="64" applyFont="1" applyFill="1" applyBorder="1" applyAlignment="1">
      <alignment horizontal="center" vertical="center" wrapText="1"/>
      <protection/>
    </xf>
    <xf numFmtId="49" fontId="4" fillId="0" borderId="10" xfId="65" applyNumberFormat="1" applyFont="1" applyFill="1" applyBorder="1" applyAlignment="1">
      <alignment horizontal="center" vertical="center" wrapText="1"/>
      <protection/>
    </xf>
    <xf numFmtId="0" fontId="2" fillId="42" borderId="37" xfId="0" applyFont="1" applyFill="1" applyBorder="1" applyAlignment="1">
      <alignment horizontal="center" vertical="center" wrapText="1"/>
    </xf>
    <xf numFmtId="0" fontId="2" fillId="42" borderId="22" xfId="0" applyFont="1" applyFill="1" applyBorder="1" applyAlignment="1">
      <alignment horizontal="center" vertical="center" wrapText="1"/>
    </xf>
    <xf numFmtId="0" fontId="2" fillId="42" borderId="21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3" xfId="65" applyFont="1" applyFill="1" applyBorder="1" applyAlignment="1">
      <alignment horizontal="center" vertical="center" wrapText="1"/>
      <protection/>
    </xf>
    <xf numFmtId="0" fontId="4" fillId="33" borderId="22" xfId="65" applyFont="1" applyFill="1" applyBorder="1" applyAlignment="1">
      <alignment horizontal="center" vertical="center" wrapText="1"/>
      <protection/>
    </xf>
    <xf numFmtId="0" fontId="4" fillId="33" borderId="15" xfId="65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34" borderId="23" xfId="65" applyFont="1" applyFill="1" applyBorder="1" applyAlignment="1">
      <alignment horizontal="center" vertical="center" wrapText="1"/>
      <protection/>
    </xf>
    <xf numFmtId="0" fontId="4" fillId="39" borderId="27" xfId="0" applyFont="1" applyFill="1" applyBorder="1" applyAlignment="1">
      <alignment horizontal="center" vertical="center" wrapText="1"/>
    </xf>
    <xf numFmtId="0" fontId="4" fillId="39" borderId="31" xfId="0" applyFont="1" applyFill="1" applyBorder="1" applyAlignment="1">
      <alignment horizontal="center" vertical="center" wrapText="1"/>
    </xf>
    <xf numFmtId="0" fontId="2" fillId="42" borderId="25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40" borderId="40" xfId="0" applyFont="1" applyFill="1" applyBorder="1" applyAlignment="1">
      <alignment horizontal="center" vertical="center" wrapText="1"/>
    </xf>
    <xf numFmtId="0" fontId="7" fillId="40" borderId="54" xfId="0" applyFont="1" applyFill="1" applyBorder="1" applyAlignment="1">
      <alignment horizontal="center" vertical="center" wrapText="1"/>
    </xf>
    <xf numFmtId="0" fontId="7" fillId="40" borderId="55" xfId="0" applyFont="1" applyFill="1" applyBorder="1" applyAlignment="1">
      <alignment horizontal="center" vertical="center" wrapText="1"/>
    </xf>
    <xf numFmtId="0" fontId="7" fillId="40" borderId="53" xfId="0" applyFont="1" applyFill="1" applyBorder="1" applyAlignment="1">
      <alignment horizontal="center" vertical="center" wrapText="1"/>
    </xf>
    <xf numFmtId="0" fontId="7" fillId="40" borderId="56" xfId="0" applyFont="1" applyFill="1" applyBorder="1" applyAlignment="1">
      <alignment horizontal="center" vertical="center" wrapText="1"/>
    </xf>
    <xf numFmtId="0" fontId="22" fillId="42" borderId="13" xfId="0" applyFont="1" applyFill="1" applyBorder="1" applyAlignment="1">
      <alignment/>
    </xf>
    <xf numFmtId="0" fontId="22" fillId="42" borderId="14" xfId="0" applyFont="1" applyFill="1" applyBorder="1" applyAlignment="1">
      <alignment/>
    </xf>
    <xf numFmtId="0" fontId="7" fillId="42" borderId="37" xfId="0" applyFont="1" applyFill="1" applyBorder="1" applyAlignment="1">
      <alignment horizontal="center" vertical="center" wrapText="1"/>
    </xf>
    <xf numFmtId="0" fontId="7" fillId="42" borderId="22" xfId="0" applyFont="1" applyFill="1" applyBorder="1" applyAlignment="1">
      <alignment horizontal="center" vertical="center" wrapText="1"/>
    </xf>
    <xf numFmtId="0" fontId="7" fillId="42" borderId="25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4" borderId="10" xfId="65" applyFont="1" applyFill="1" applyBorder="1" applyAlignment="1">
      <alignment horizontal="center" vertical="center" wrapText="1"/>
      <protection/>
    </xf>
    <xf numFmtId="0" fontId="2" fillId="0" borderId="4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9" xfId="66" applyFont="1" applyFill="1" applyBorder="1" applyAlignment="1">
      <alignment horizontal="center" vertical="center" wrapText="1"/>
      <protection/>
    </xf>
    <xf numFmtId="0" fontId="2" fillId="0" borderId="15" xfId="66" applyFont="1" applyFill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4" fillId="42" borderId="13" xfId="0" applyFont="1" applyFill="1" applyBorder="1" applyAlignment="1">
      <alignment/>
    </xf>
    <xf numFmtId="0" fontId="44" fillId="42" borderId="14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4" borderId="11" xfId="65" applyFont="1" applyFill="1" applyBorder="1" applyAlignment="1">
      <alignment horizontal="center" vertical="center" wrapText="1"/>
      <protection/>
    </xf>
    <xf numFmtId="0" fontId="45" fillId="42" borderId="13" xfId="0" applyFont="1" applyFill="1" applyBorder="1" applyAlignment="1">
      <alignment/>
    </xf>
    <xf numFmtId="0" fontId="45" fillId="42" borderId="14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23" xfId="60" applyNumberFormat="1" applyFont="1" applyFill="1" applyBorder="1" applyAlignment="1">
      <alignment horizontal="center" vertical="center" wrapText="1"/>
      <protection/>
    </xf>
    <xf numFmtId="2" fontId="4" fillId="0" borderId="15" xfId="60" applyNumberFormat="1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/>
    </xf>
    <xf numFmtId="0" fontId="34" fillId="33" borderId="10" xfId="0" applyFont="1" applyFill="1" applyBorder="1" applyAlignment="1">
      <alignment horizontal="center" vertical="center"/>
    </xf>
    <xf numFmtId="0" fontId="2" fillId="40" borderId="53" xfId="0" applyFont="1" applyFill="1" applyBorder="1" applyAlignment="1">
      <alignment horizontal="center" vertical="top" wrapText="1"/>
    </xf>
    <xf numFmtId="0" fontId="2" fillId="40" borderId="55" xfId="0" applyFont="1" applyFill="1" applyBorder="1" applyAlignment="1">
      <alignment horizontal="center" vertical="top" wrapText="1"/>
    </xf>
    <xf numFmtId="2" fontId="4" fillId="0" borderId="49" xfId="66" applyNumberFormat="1" applyFont="1" applyFill="1" applyBorder="1" applyAlignment="1">
      <alignment horizontal="center" vertical="center" wrapText="1"/>
      <protection/>
    </xf>
    <xf numFmtId="2" fontId="4" fillId="0" borderId="22" xfId="66" applyNumberFormat="1" applyFont="1" applyFill="1" applyBorder="1" applyAlignment="1">
      <alignment horizontal="center" vertical="center" wrapText="1"/>
      <protection/>
    </xf>
    <xf numFmtId="0" fontId="2" fillId="42" borderId="48" xfId="0" applyFont="1" applyFill="1" applyBorder="1" applyAlignment="1">
      <alignment horizontal="center" vertical="top" wrapText="1"/>
    </xf>
    <xf numFmtId="0" fontId="2" fillId="42" borderId="49" xfId="0" applyFont="1" applyFill="1" applyBorder="1" applyAlignment="1">
      <alignment horizontal="center" vertical="top" wrapText="1"/>
    </xf>
    <xf numFmtId="0" fontId="2" fillId="42" borderId="52" xfId="0" applyFont="1" applyFill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66" applyFont="1" applyFill="1" applyBorder="1" applyAlignment="1">
      <alignment horizontal="center"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23" xfId="66" applyNumberFormat="1" applyFont="1" applyFill="1" applyBorder="1" applyAlignment="1">
      <alignment horizontal="center" vertical="center" wrapText="1"/>
      <protection/>
    </xf>
    <xf numFmtId="2" fontId="4" fillId="0" borderId="15" xfId="66" applyNumberFormat="1" applyFont="1" applyFill="1" applyBorder="1" applyAlignment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2" fillId="42" borderId="36" xfId="0" applyFont="1" applyFill="1" applyBorder="1" applyAlignment="1">
      <alignment horizontal="center" vertical="top" wrapText="1"/>
    </xf>
    <xf numFmtId="0" fontId="2" fillId="42" borderId="13" xfId="0" applyFont="1" applyFill="1" applyBorder="1" applyAlignment="1">
      <alignment horizontal="center" vertical="top" wrapText="1"/>
    </xf>
    <xf numFmtId="0" fontId="2" fillId="42" borderId="14" xfId="0" applyFont="1" applyFill="1" applyBorder="1" applyAlignment="1">
      <alignment horizontal="center" vertical="top" wrapText="1"/>
    </xf>
    <xf numFmtId="0" fontId="2" fillId="40" borderId="20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11" fillId="33" borderId="15" xfId="0" applyFont="1" applyFill="1" applyBorder="1" applyAlignment="1" applyProtection="1">
      <alignment horizontal="center" vertical="center" wrapText="1"/>
      <protection locked="0"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 textRotation="255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2" fontId="11" fillId="0" borderId="23" xfId="0" applyNumberFormat="1" applyFont="1" applyBorder="1" applyAlignment="1">
      <alignment horizontal="center" vertical="center"/>
    </xf>
    <xf numFmtId="2" fontId="11" fillId="0" borderId="22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" fontId="30" fillId="0" borderId="23" xfId="0" applyNumberFormat="1" applyFont="1" applyFill="1" applyBorder="1" applyAlignment="1">
      <alignment horizontal="center" vertical="center" wrapText="1"/>
    </xf>
    <xf numFmtId="1" fontId="30" fillId="0" borderId="22" xfId="0" applyNumberFormat="1" applyFont="1" applyFill="1" applyBorder="1" applyAlignment="1">
      <alignment horizontal="center" vertical="center" wrapText="1"/>
    </xf>
    <xf numFmtId="1" fontId="30" fillId="0" borderId="15" xfId="0" applyNumberFormat="1" applyFont="1" applyFill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4" fillId="0" borderId="49" xfId="66" applyFont="1" applyFill="1" applyBorder="1" applyAlignment="1">
      <alignment horizontal="center" vertical="center" wrapText="1"/>
      <protection/>
    </xf>
    <xf numFmtId="0" fontId="4" fillId="0" borderId="22" xfId="66" applyFont="1" applyFill="1" applyBorder="1" applyAlignment="1">
      <alignment horizontal="center" vertical="center" wrapText="1"/>
      <protection/>
    </xf>
    <xf numFmtId="0" fontId="4" fillId="0" borderId="15" xfId="66" applyFont="1" applyFill="1" applyBorder="1" applyAlignment="1">
      <alignment horizontal="center" vertical="center" wrapText="1"/>
      <protection/>
    </xf>
    <xf numFmtId="174" fontId="11" fillId="0" borderId="23" xfId="0" applyNumberFormat="1" applyFont="1" applyBorder="1" applyAlignment="1">
      <alignment horizontal="center" vertical="center"/>
    </xf>
    <xf numFmtId="174" fontId="11" fillId="0" borderId="22" xfId="0" applyNumberFormat="1" applyFont="1" applyBorder="1" applyAlignment="1">
      <alignment horizontal="center" vertical="center"/>
    </xf>
    <xf numFmtId="174" fontId="11" fillId="0" borderId="15" xfId="0" applyNumberFormat="1" applyFont="1" applyBorder="1" applyAlignment="1">
      <alignment horizontal="center" vertical="center"/>
    </xf>
    <xf numFmtId="174" fontId="30" fillId="0" borderId="23" xfId="0" applyNumberFormat="1" applyFont="1" applyFill="1" applyBorder="1" applyAlignment="1">
      <alignment horizontal="center" vertical="center" wrapText="1"/>
    </xf>
    <xf numFmtId="174" fontId="30" fillId="0" borderId="22" xfId="0" applyNumberFormat="1" applyFont="1" applyFill="1" applyBorder="1" applyAlignment="1">
      <alignment horizontal="center" vertical="center" wrapText="1"/>
    </xf>
    <xf numFmtId="174" fontId="30" fillId="0" borderId="15" xfId="0" applyNumberFormat="1" applyFont="1" applyFill="1" applyBorder="1" applyAlignment="1">
      <alignment horizontal="center" vertical="center" wrapText="1"/>
    </xf>
    <xf numFmtId="2" fontId="30" fillId="0" borderId="23" xfId="0" applyNumberFormat="1" applyFont="1" applyFill="1" applyBorder="1" applyAlignment="1">
      <alignment horizontal="center" vertical="center" wrapText="1"/>
    </xf>
    <xf numFmtId="2" fontId="30" fillId="0" borderId="22" xfId="0" applyNumberFormat="1" applyFont="1" applyFill="1" applyBorder="1" applyAlignment="1">
      <alignment horizontal="center" vertical="center" wrapText="1"/>
    </xf>
    <xf numFmtId="2" fontId="30" fillId="0" borderId="15" xfId="0" applyNumberFormat="1" applyFont="1" applyFill="1" applyBorder="1" applyAlignment="1">
      <alignment horizontal="center" vertical="center" wrapText="1"/>
    </xf>
    <xf numFmtId="0" fontId="4" fillId="0" borderId="10" xfId="66" applyFont="1" applyFill="1" applyBorder="1" applyAlignment="1">
      <alignment horizontal="center" vertical="center" wrapText="1"/>
      <protection/>
    </xf>
    <xf numFmtId="0" fontId="4" fillId="0" borderId="31" xfId="66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2" fontId="30" fillId="33" borderId="23" xfId="65" applyNumberFormat="1" applyFont="1" applyFill="1" applyBorder="1" applyAlignment="1">
      <alignment horizontal="center" vertical="center" wrapText="1"/>
      <protection/>
    </xf>
    <xf numFmtId="2" fontId="30" fillId="33" borderId="22" xfId="65" applyNumberFormat="1" applyFont="1" applyFill="1" applyBorder="1" applyAlignment="1">
      <alignment horizontal="center" vertical="center" wrapText="1"/>
      <protection/>
    </xf>
    <xf numFmtId="2" fontId="30" fillId="33" borderId="15" xfId="65" applyNumberFormat="1" applyFont="1" applyFill="1" applyBorder="1" applyAlignment="1">
      <alignment horizontal="center" vertical="center" wrapText="1"/>
      <protection/>
    </xf>
    <xf numFmtId="0" fontId="4" fillId="0" borderId="23" xfId="66" applyFont="1" applyFill="1" applyBorder="1" applyAlignment="1">
      <alignment horizontal="center" vertical="center"/>
      <protection/>
    </xf>
    <xf numFmtId="0" fontId="4" fillId="0" borderId="22" xfId="66" applyFont="1" applyFill="1" applyBorder="1" applyAlignment="1">
      <alignment horizontal="center" vertical="center"/>
      <protection/>
    </xf>
    <xf numFmtId="0" fontId="4" fillId="0" borderId="15" xfId="66" applyFont="1" applyFill="1" applyBorder="1" applyAlignment="1">
      <alignment horizontal="center" vertical="center"/>
      <protection/>
    </xf>
    <xf numFmtId="0" fontId="19" fillId="0" borderId="2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2" fontId="19" fillId="0" borderId="23" xfId="0" applyNumberFormat="1" applyFont="1" applyBorder="1" applyAlignment="1">
      <alignment horizontal="center" vertical="center" wrapText="1"/>
    </xf>
    <xf numFmtId="2" fontId="19" fillId="0" borderId="22" xfId="0" applyNumberFormat="1" applyFont="1" applyBorder="1" applyAlignment="1">
      <alignment horizontal="center" vertical="center" wrapText="1"/>
    </xf>
    <xf numFmtId="2" fontId="19" fillId="0" borderId="15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3" fillId="0" borderId="46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34" fillId="33" borderId="49" xfId="0" applyFont="1" applyFill="1" applyBorder="1" applyAlignment="1">
      <alignment horizontal="center" vertical="center"/>
    </xf>
    <xf numFmtId="0" fontId="34" fillId="33" borderId="22" xfId="0" applyFont="1" applyFill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/>
    </xf>
    <xf numFmtId="2" fontId="34" fillId="33" borderId="22" xfId="0" applyNumberFormat="1" applyFont="1" applyFill="1" applyBorder="1" applyAlignment="1">
      <alignment horizontal="center" vertical="center"/>
    </xf>
    <xf numFmtId="2" fontId="34" fillId="33" borderId="15" xfId="0" applyNumberFormat="1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40" borderId="61" xfId="0" applyFont="1" applyFill="1" applyBorder="1" applyAlignment="1">
      <alignment horizontal="center" vertical="top" wrapText="1"/>
    </xf>
    <xf numFmtId="0" fontId="2" fillId="40" borderId="62" xfId="0" applyFont="1" applyFill="1" applyBorder="1" applyAlignment="1">
      <alignment horizontal="center" vertical="top" wrapText="1"/>
    </xf>
    <xf numFmtId="0" fontId="2" fillId="40" borderId="63" xfId="0" applyFont="1" applyFill="1" applyBorder="1" applyAlignment="1">
      <alignment horizontal="center" vertical="top" wrapText="1"/>
    </xf>
    <xf numFmtId="0" fontId="11" fillId="0" borderId="49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2" fillId="40" borderId="34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0" xfId="64" applyFont="1" applyFill="1" applyBorder="1" applyAlignment="1">
      <alignment horizontal="center" vertical="top" wrapText="1"/>
      <protection/>
    </xf>
    <xf numFmtId="0" fontId="21" fillId="42" borderId="36" xfId="0" applyFont="1" applyFill="1" applyBorder="1" applyAlignment="1">
      <alignment horizontal="center" vertical="top" wrapText="1"/>
    </xf>
    <xf numFmtId="0" fontId="21" fillId="42" borderId="13" xfId="0" applyFont="1" applyFill="1" applyBorder="1" applyAlignment="1">
      <alignment horizontal="center" vertical="top" wrapText="1"/>
    </xf>
    <xf numFmtId="0" fontId="21" fillId="42" borderId="14" xfId="0" applyFont="1" applyFill="1" applyBorder="1" applyAlignment="1">
      <alignment horizontal="center" vertical="top" wrapText="1"/>
    </xf>
    <xf numFmtId="0" fontId="2" fillId="42" borderId="19" xfId="0" applyFont="1" applyFill="1" applyBorder="1" applyAlignment="1">
      <alignment horizontal="center" vertical="top" wrapText="1"/>
    </xf>
    <xf numFmtId="0" fontId="2" fillId="42" borderId="20" xfId="0" applyFont="1" applyFill="1" applyBorder="1" applyAlignment="1">
      <alignment horizontal="center" vertical="top" wrapText="1"/>
    </xf>
    <xf numFmtId="0" fontId="2" fillId="42" borderId="21" xfId="0" applyFont="1" applyFill="1" applyBorder="1" applyAlignment="1">
      <alignment horizontal="center" vertical="top" wrapText="1"/>
    </xf>
    <xf numFmtId="0" fontId="2" fillId="0" borderId="6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48" xfId="0" applyFont="1" applyFill="1" applyBorder="1" applyAlignment="1">
      <alignment horizontal="center" vertical="center"/>
    </xf>
    <xf numFmtId="2" fontId="11" fillId="0" borderId="49" xfId="0" applyNumberFormat="1" applyFont="1" applyFill="1" applyBorder="1" applyAlignment="1">
      <alignment horizontal="center" vertical="center"/>
    </xf>
    <xf numFmtId="2" fontId="11" fillId="0" borderId="22" xfId="0" applyNumberFormat="1" applyFont="1" applyFill="1" applyBorder="1" applyAlignment="1">
      <alignment horizontal="center" vertical="center"/>
    </xf>
    <xf numFmtId="2" fontId="11" fillId="0" borderId="15" xfId="0" applyNumberFormat="1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6" fillId="42" borderId="36" xfId="0" applyFont="1" applyFill="1" applyBorder="1" applyAlignment="1">
      <alignment horizontal="center" vertical="top" wrapText="1"/>
    </xf>
    <xf numFmtId="0" fontId="26" fillId="42" borderId="13" xfId="0" applyFont="1" applyFill="1" applyBorder="1" applyAlignment="1">
      <alignment horizontal="center" vertical="top" wrapText="1"/>
    </xf>
    <xf numFmtId="0" fontId="26" fillId="42" borderId="14" xfId="0" applyFont="1" applyFill="1" applyBorder="1" applyAlignment="1">
      <alignment horizontal="center" vertical="top" wrapText="1"/>
    </xf>
    <xf numFmtId="0" fontId="4" fillId="33" borderId="23" xfId="64" applyFont="1" applyFill="1" applyBorder="1" applyAlignment="1">
      <alignment horizontal="center" vertical="center" wrapText="1"/>
      <protection/>
    </xf>
    <xf numFmtId="0" fontId="4" fillId="33" borderId="22" xfId="64" applyFont="1" applyFill="1" applyBorder="1" applyAlignment="1">
      <alignment horizontal="center" vertical="center" wrapText="1"/>
      <protection/>
    </xf>
    <xf numFmtId="0" fontId="4" fillId="33" borderId="15" xfId="64" applyFont="1" applyFill="1" applyBorder="1" applyAlignment="1">
      <alignment horizontal="center" vertical="center" wrapText="1"/>
      <protection/>
    </xf>
    <xf numFmtId="2" fontId="4" fillId="33" borderId="23" xfId="64" applyNumberFormat="1" applyFont="1" applyFill="1" applyBorder="1" applyAlignment="1">
      <alignment horizontal="center" vertical="center" wrapText="1"/>
      <protection/>
    </xf>
    <xf numFmtId="2" fontId="4" fillId="33" borderId="22" xfId="64" applyNumberFormat="1" applyFont="1" applyFill="1" applyBorder="1" applyAlignment="1">
      <alignment horizontal="center" vertical="center" wrapText="1"/>
      <protection/>
    </xf>
    <xf numFmtId="2" fontId="4" fillId="33" borderId="15" xfId="64" applyNumberFormat="1" applyFont="1" applyFill="1" applyBorder="1" applyAlignment="1">
      <alignment horizontal="center" vertical="center" wrapText="1"/>
      <protection/>
    </xf>
    <xf numFmtId="0" fontId="11" fillId="0" borderId="23" xfId="65" applyFont="1" applyFill="1" applyBorder="1" applyAlignment="1">
      <alignment horizontal="center" vertical="center" wrapText="1"/>
      <protection/>
    </xf>
    <xf numFmtId="0" fontId="11" fillId="0" borderId="22" xfId="65" applyFont="1" applyFill="1" applyBorder="1" applyAlignment="1">
      <alignment horizontal="center" vertical="center" wrapText="1"/>
      <protection/>
    </xf>
    <xf numFmtId="0" fontId="11" fillId="0" borderId="15" xfId="65" applyFont="1" applyFill="1" applyBorder="1" applyAlignment="1">
      <alignment horizontal="center" vertical="center" wrapText="1"/>
      <protection/>
    </xf>
    <xf numFmtId="0" fontId="4" fillId="0" borderId="4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0" fillId="0" borderId="6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1" fillId="42" borderId="53" xfId="0" applyFont="1" applyFill="1" applyBorder="1" applyAlignment="1">
      <alignment horizontal="center" vertical="top" wrapText="1"/>
    </xf>
    <xf numFmtId="0" fontId="21" fillId="42" borderId="54" xfId="0" applyFont="1" applyFill="1" applyBorder="1" applyAlignment="1">
      <alignment horizontal="center" vertical="top" wrapText="1"/>
    </xf>
    <xf numFmtId="0" fontId="21" fillId="42" borderId="55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7" fillId="0" borderId="6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6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6" fillId="0" borderId="16" xfId="0" applyFont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 wrapText="1"/>
    </xf>
    <xf numFmtId="0" fontId="26" fillId="42" borderId="53" xfId="0" applyFont="1" applyFill="1" applyBorder="1" applyAlignment="1">
      <alignment horizontal="center" vertical="top" wrapText="1"/>
    </xf>
    <xf numFmtId="0" fontId="26" fillId="42" borderId="54" xfId="0" applyFont="1" applyFill="1" applyBorder="1" applyAlignment="1">
      <alignment horizontal="center" vertical="top" wrapText="1"/>
    </xf>
    <xf numFmtId="0" fontId="26" fillId="42" borderId="55" xfId="0" applyFont="1" applyFill="1" applyBorder="1" applyAlignment="1">
      <alignment horizontal="center" vertical="top" wrapText="1"/>
    </xf>
    <xf numFmtId="0" fontId="2" fillId="0" borderId="64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35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53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1 2" xfId="44"/>
    <cellStyle name="Comma 19 6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4" xfId="60"/>
    <cellStyle name="Normal 46" xfId="61"/>
    <cellStyle name="Normal 5" xfId="62"/>
    <cellStyle name="Normal 7" xfId="63"/>
    <cellStyle name="Normal_State wise training - Rajasthan" xfId="64"/>
    <cellStyle name="Normal_State wise training for Uttar Pradesh - Dr. Baswal" xfId="65"/>
    <cellStyle name="Normal_State wise training for Uttar Pradesh - Dr. Baswal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externalLink" Target="externalLinks/externalLink3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e%20CTP\MH%20CTP%20(2015-16)%20Validat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%20CTP%20of%2011%20Non%20High%20Focus%20St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tate%20CTP\Haryana%20CTP%20validation%20work%202015-16%20(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ernal Health"/>
      <sheetName val="Child Health"/>
      <sheetName val="Family Planning"/>
      <sheetName val="ARSH"/>
      <sheetName val="NUHM"/>
      <sheetName val="DCP"/>
      <sheetName val="NCD"/>
      <sheetName val="Other Programme"/>
    </sheetNames>
    <sheetDataSet>
      <sheetData sheetId="0">
        <row r="20">
          <cell r="I20">
            <v>131</v>
          </cell>
          <cell r="J20" t="str">
            <v>2</v>
          </cell>
        </row>
        <row r="22">
          <cell r="I22">
            <v>46</v>
          </cell>
          <cell r="J22">
            <v>20</v>
          </cell>
        </row>
        <row r="24">
          <cell r="I24">
            <v>230</v>
          </cell>
          <cell r="J24" t="str">
            <v>2</v>
          </cell>
        </row>
      </sheetData>
      <sheetData sheetId="1">
        <row r="13">
          <cell r="I13">
            <v>14</v>
          </cell>
          <cell r="J13">
            <v>20</v>
          </cell>
        </row>
        <row r="15">
          <cell r="I15">
            <v>32</v>
          </cell>
          <cell r="J15">
            <v>20</v>
          </cell>
        </row>
        <row r="19">
          <cell r="I19">
            <v>35</v>
          </cell>
          <cell r="J19">
            <v>24</v>
          </cell>
        </row>
        <row r="27">
          <cell r="I27">
            <v>43</v>
          </cell>
          <cell r="J27">
            <v>20</v>
          </cell>
        </row>
        <row r="31">
          <cell r="I31">
            <v>164</v>
          </cell>
          <cell r="J31">
            <v>30</v>
          </cell>
        </row>
      </sheetData>
      <sheetData sheetId="2">
        <row r="7">
          <cell r="I7">
            <v>20</v>
          </cell>
          <cell r="J7">
            <v>2</v>
          </cell>
        </row>
      </sheetData>
      <sheetData sheetId="5">
        <row r="8">
          <cell r="I8">
            <v>55</v>
          </cell>
          <cell r="J8">
            <v>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ternal Health"/>
      <sheetName val="Child Health"/>
      <sheetName val="Family planning"/>
      <sheetName val="ARSH"/>
      <sheetName val="NDCP"/>
      <sheetName val="Other Programme"/>
      <sheetName val="NUHM"/>
      <sheetName val="NVBDCP"/>
    </sheetNames>
    <sheetDataSet>
      <sheetData sheetId="0">
        <row r="16">
          <cell r="AC16">
            <v>391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ternal Health"/>
      <sheetName val="Child Health"/>
      <sheetName val="Family Planning"/>
      <sheetName val="ARSH"/>
      <sheetName val="Disease Control Programme"/>
      <sheetName val="Other Programme"/>
      <sheetName val="NUHM"/>
      <sheetName val="Sheet1"/>
    </sheetNames>
    <sheetDataSet>
      <sheetData sheetId="1">
        <row r="21">
          <cell r="J21">
            <v>24</v>
          </cell>
        </row>
        <row r="28">
          <cell r="J28">
            <v>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4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6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N10" sqref="N10"/>
    </sheetView>
  </sheetViews>
  <sheetFormatPr defaultColWidth="9.140625" defaultRowHeight="17.25" customHeight="1"/>
  <cols>
    <col min="1" max="1" width="12.421875" style="200" customWidth="1"/>
    <col min="2" max="2" width="39.57421875" style="200" customWidth="1"/>
    <col min="3" max="3" width="22.8515625" style="197" customWidth="1"/>
    <col min="4" max="5" width="6.7109375" style="221" customWidth="1"/>
    <col min="6" max="6" width="7.28125" style="221" customWidth="1"/>
    <col min="7" max="7" width="6.7109375" style="221" customWidth="1"/>
    <col min="8" max="8" width="7.7109375" style="221" customWidth="1"/>
    <col min="9" max="13" width="6.7109375" style="221" customWidth="1"/>
    <col min="14" max="14" width="7.57421875" style="221" customWidth="1"/>
    <col min="15" max="15" width="6.7109375" style="221" customWidth="1"/>
    <col min="16" max="16" width="7.57421875" style="221" customWidth="1"/>
    <col min="17" max="17" width="7.7109375" style="221" customWidth="1"/>
    <col min="18" max="18" width="7.421875" style="221" customWidth="1"/>
    <col min="19" max="22" width="8.57421875" style="221" customWidth="1"/>
    <col min="23" max="27" width="8.8515625" style="221" customWidth="1"/>
    <col min="28" max="29" width="8.57421875" style="221" customWidth="1"/>
    <col min="30" max="30" width="10.00390625" style="221" customWidth="1"/>
    <col min="31" max="31" width="8.57421875" style="221" customWidth="1"/>
    <col min="32" max="32" width="7.140625" style="221" customWidth="1"/>
    <col min="33" max="33" width="8.57421875" style="221" customWidth="1"/>
    <col min="34" max="34" width="7.140625" style="221" customWidth="1"/>
    <col min="35" max="43" width="8.57421875" style="221" customWidth="1"/>
    <col min="44" max="44" width="6.28125" style="221" customWidth="1"/>
    <col min="45" max="45" width="6.140625" style="221" customWidth="1"/>
    <col min="46" max="47" width="8.57421875" style="221" customWidth="1"/>
    <col min="48" max="48" width="11.421875" style="221" customWidth="1"/>
    <col min="49" max="49" width="20.00390625" style="221" customWidth="1"/>
    <col min="50" max="50" width="20.7109375" style="221" customWidth="1"/>
    <col min="51" max="51" width="11.57421875" style="221" customWidth="1"/>
    <col min="52" max="52" width="56.7109375" style="221" customWidth="1"/>
    <col min="53" max="16384" width="9.140625" style="90" customWidth="1"/>
  </cols>
  <sheetData>
    <row r="1" spans="1:52" ht="24.75" customHeight="1" thickBot="1">
      <c r="A1" s="1043" t="s">
        <v>18</v>
      </c>
      <c r="B1" s="1044"/>
      <c r="C1" s="1044"/>
      <c r="D1" s="1044"/>
      <c r="E1" s="1044"/>
      <c r="F1" s="1044"/>
      <c r="G1" s="1044"/>
      <c r="H1" s="1044"/>
      <c r="I1" s="1044"/>
      <c r="J1" s="1044"/>
      <c r="K1" s="1044"/>
      <c r="L1" s="1044"/>
      <c r="M1" s="1044"/>
      <c r="N1" s="1044"/>
      <c r="O1" s="1044"/>
      <c r="P1" s="1044"/>
      <c r="Q1" s="1044"/>
      <c r="R1" s="1044"/>
      <c r="S1" s="1044"/>
      <c r="T1" s="1044"/>
      <c r="U1" s="1044"/>
      <c r="V1" s="1044"/>
      <c r="W1" s="1044"/>
      <c r="X1" s="1044"/>
      <c r="Y1" s="1044"/>
      <c r="Z1" s="1044"/>
      <c r="AA1" s="1044"/>
      <c r="AB1" s="1044"/>
      <c r="AC1" s="1044"/>
      <c r="AD1" s="1044"/>
      <c r="AE1" s="1044"/>
      <c r="AF1" s="1044"/>
      <c r="AG1" s="1044"/>
      <c r="AH1" s="1044"/>
      <c r="AI1" s="1044"/>
      <c r="AJ1" s="1044"/>
      <c r="AK1" s="1044"/>
      <c r="AL1" s="1044"/>
      <c r="AM1" s="1044"/>
      <c r="AN1" s="1044"/>
      <c r="AO1" s="1044"/>
      <c r="AP1" s="1044"/>
      <c r="AQ1" s="1044"/>
      <c r="AR1" s="1044"/>
      <c r="AS1" s="1044"/>
      <c r="AT1" s="1044"/>
      <c r="AU1" s="1044"/>
      <c r="AV1" s="1044"/>
      <c r="AW1" s="1044"/>
      <c r="AX1" s="1044"/>
      <c r="AY1" s="1044"/>
      <c r="AZ1" s="1045"/>
    </row>
    <row r="2" spans="1:52" ht="17.25" customHeight="1" thickBot="1">
      <c r="A2" s="1046" t="s">
        <v>550</v>
      </c>
      <c r="B2" s="1047"/>
      <c r="C2" s="1047"/>
      <c r="D2" s="1047"/>
      <c r="E2" s="1047"/>
      <c r="F2" s="1047"/>
      <c r="G2" s="1047"/>
      <c r="H2" s="1047"/>
      <c r="I2" s="1047"/>
      <c r="J2" s="1047"/>
      <c r="K2" s="1047"/>
      <c r="L2" s="1047"/>
      <c r="M2" s="1047"/>
      <c r="N2" s="1047"/>
      <c r="O2" s="1047"/>
      <c r="P2" s="1047"/>
      <c r="Q2" s="1047"/>
      <c r="R2" s="1047"/>
      <c r="S2" s="1047"/>
      <c r="T2" s="1047"/>
      <c r="U2" s="1047"/>
      <c r="V2" s="1047"/>
      <c r="W2" s="1047"/>
      <c r="X2" s="1047"/>
      <c r="Y2" s="1047"/>
      <c r="Z2" s="1047"/>
      <c r="AA2" s="1047"/>
      <c r="AB2" s="1047"/>
      <c r="AC2" s="1047"/>
      <c r="AD2" s="1047"/>
      <c r="AE2" s="1047"/>
      <c r="AF2" s="1047"/>
      <c r="AG2" s="1047"/>
      <c r="AH2" s="1047"/>
      <c r="AI2" s="1047"/>
      <c r="AJ2" s="1047"/>
      <c r="AK2" s="1047"/>
      <c r="AL2" s="1047"/>
      <c r="AM2" s="1047"/>
      <c r="AN2" s="1047"/>
      <c r="AO2" s="1047"/>
      <c r="AP2" s="1047"/>
      <c r="AQ2" s="1047"/>
      <c r="AR2" s="1047"/>
      <c r="AS2" s="1047"/>
      <c r="AT2" s="1047"/>
      <c r="AU2" s="1047"/>
      <c r="AV2" s="1047"/>
      <c r="AW2" s="1047"/>
      <c r="AX2" s="1047"/>
      <c r="AY2" s="1047"/>
      <c r="AZ2" s="1048"/>
    </row>
    <row r="3" spans="1:52" ht="17.25" customHeight="1" thickBot="1">
      <c r="A3" s="1063"/>
      <c r="B3" s="1064"/>
      <c r="C3" s="1065"/>
      <c r="D3" s="1066" t="s">
        <v>884</v>
      </c>
      <c r="E3" s="1064"/>
      <c r="F3" s="1064"/>
      <c r="G3" s="1065"/>
      <c r="H3" s="1066" t="s">
        <v>907</v>
      </c>
      <c r="I3" s="1064"/>
      <c r="J3" s="1064"/>
      <c r="K3" s="1065"/>
      <c r="L3" s="1066" t="s">
        <v>908</v>
      </c>
      <c r="M3" s="1064"/>
      <c r="N3" s="1064"/>
      <c r="O3" s="1065"/>
      <c r="P3" s="1066" t="s">
        <v>552</v>
      </c>
      <c r="Q3" s="1064"/>
      <c r="R3" s="1064"/>
      <c r="S3" s="1065"/>
      <c r="T3" s="1066" t="s">
        <v>633</v>
      </c>
      <c r="U3" s="1064"/>
      <c r="V3" s="1064"/>
      <c r="W3" s="1065"/>
      <c r="X3" s="1066" t="s">
        <v>916</v>
      </c>
      <c r="Y3" s="1064"/>
      <c r="Z3" s="1064"/>
      <c r="AA3" s="1065"/>
      <c r="AB3" s="1066" t="s">
        <v>676</v>
      </c>
      <c r="AC3" s="1064"/>
      <c r="AD3" s="1064"/>
      <c r="AE3" s="1065"/>
      <c r="AF3" s="1066" t="s">
        <v>1</v>
      </c>
      <c r="AG3" s="1064"/>
      <c r="AH3" s="1064"/>
      <c r="AI3" s="1065"/>
      <c r="AJ3" s="1066" t="s">
        <v>551</v>
      </c>
      <c r="AK3" s="1064"/>
      <c r="AL3" s="1064"/>
      <c r="AM3" s="1065"/>
      <c r="AN3" s="1066" t="s">
        <v>854</v>
      </c>
      <c r="AO3" s="1064"/>
      <c r="AP3" s="1064"/>
      <c r="AQ3" s="1065"/>
      <c r="AR3" s="1066" t="s">
        <v>947</v>
      </c>
      <c r="AS3" s="1064"/>
      <c r="AT3" s="1064"/>
      <c r="AU3" s="1065"/>
      <c r="AV3" s="1066"/>
      <c r="AW3" s="1064"/>
      <c r="AX3" s="1064"/>
      <c r="AY3" s="1064"/>
      <c r="AZ3" s="1067"/>
    </row>
    <row r="4" spans="1:52" ht="15">
      <c r="A4" s="1049" t="s">
        <v>116</v>
      </c>
      <c r="B4" s="1051" t="s">
        <v>19</v>
      </c>
      <c r="C4" s="1051" t="s">
        <v>20</v>
      </c>
      <c r="D4" s="1034" t="s">
        <v>112</v>
      </c>
      <c r="E4" s="1034"/>
      <c r="F4" s="1034" t="s">
        <v>113</v>
      </c>
      <c r="G4" s="1034"/>
      <c r="H4" s="1034" t="s">
        <v>112</v>
      </c>
      <c r="I4" s="1034"/>
      <c r="J4" s="1034" t="s">
        <v>113</v>
      </c>
      <c r="K4" s="1034"/>
      <c r="L4" s="1034" t="s">
        <v>112</v>
      </c>
      <c r="M4" s="1034"/>
      <c r="N4" s="1034" t="s">
        <v>113</v>
      </c>
      <c r="O4" s="1034"/>
      <c r="P4" s="1034" t="s">
        <v>112</v>
      </c>
      <c r="Q4" s="1034"/>
      <c r="R4" s="1034" t="s">
        <v>113</v>
      </c>
      <c r="S4" s="1034"/>
      <c r="T4" s="1034" t="s">
        <v>112</v>
      </c>
      <c r="U4" s="1034"/>
      <c r="V4" s="1034" t="s">
        <v>113</v>
      </c>
      <c r="W4" s="1034"/>
      <c r="X4" s="1034" t="s">
        <v>112</v>
      </c>
      <c r="Y4" s="1034"/>
      <c r="Z4" s="1034" t="s">
        <v>113</v>
      </c>
      <c r="AA4" s="1034"/>
      <c r="AB4" s="1034" t="s">
        <v>112</v>
      </c>
      <c r="AC4" s="1034"/>
      <c r="AD4" s="1034" t="s">
        <v>113</v>
      </c>
      <c r="AE4" s="1034"/>
      <c r="AF4" s="1034" t="s">
        <v>112</v>
      </c>
      <c r="AG4" s="1034"/>
      <c r="AH4" s="1034" t="s">
        <v>113</v>
      </c>
      <c r="AI4" s="1034"/>
      <c r="AJ4" s="1034" t="s">
        <v>112</v>
      </c>
      <c r="AK4" s="1034"/>
      <c r="AL4" s="1034" t="s">
        <v>113</v>
      </c>
      <c r="AM4" s="1034"/>
      <c r="AN4" s="1034" t="s">
        <v>112</v>
      </c>
      <c r="AO4" s="1034"/>
      <c r="AP4" s="1034" t="s">
        <v>113</v>
      </c>
      <c r="AQ4" s="1034"/>
      <c r="AR4" s="1034" t="s">
        <v>112</v>
      </c>
      <c r="AS4" s="1034"/>
      <c r="AT4" s="1034" t="s">
        <v>113</v>
      </c>
      <c r="AU4" s="1034"/>
      <c r="AV4" s="1034" t="s">
        <v>4</v>
      </c>
      <c r="AW4" s="1034" t="s">
        <v>855</v>
      </c>
      <c r="AX4" s="1034" t="s">
        <v>21</v>
      </c>
      <c r="AY4" s="1053" t="s">
        <v>83</v>
      </c>
      <c r="AZ4" s="1055" t="s">
        <v>84</v>
      </c>
    </row>
    <row r="5" spans="1:52" ht="101.25" thickBot="1">
      <c r="A5" s="1050"/>
      <c r="B5" s="1052"/>
      <c r="C5" s="1052"/>
      <c r="D5" s="29" t="s">
        <v>6</v>
      </c>
      <c r="E5" s="29" t="s">
        <v>7</v>
      </c>
      <c r="F5" s="29" t="s">
        <v>6</v>
      </c>
      <c r="G5" s="29" t="s">
        <v>96</v>
      </c>
      <c r="H5" s="29" t="s">
        <v>6</v>
      </c>
      <c r="I5" s="29" t="s">
        <v>7</v>
      </c>
      <c r="J5" s="29" t="s">
        <v>6</v>
      </c>
      <c r="K5" s="29" t="s">
        <v>96</v>
      </c>
      <c r="L5" s="29" t="s">
        <v>6</v>
      </c>
      <c r="M5" s="29" t="s">
        <v>7</v>
      </c>
      <c r="N5" s="29" t="s">
        <v>6</v>
      </c>
      <c r="O5" s="29" t="s">
        <v>96</v>
      </c>
      <c r="P5" s="29" t="s">
        <v>6</v>
      </c>
      <c r="Q5" s="29" t="s">
        <v>7</v>
      </c>
      <c r="R5" s="29" t="s">
        <v>6</v>
      </c>
      <c r="S5" s="29" t="s">
        <v>96</v>
      </c>
      <c r="T5" s="29" t="s">
        <v>6</v>
      </c>
      <c r="U5" s="29" t="s">
        <v>7</v>
      </c>
      <c r="V5" s="29" t="s">
        <v>6</v>
      </c>
      <c r="W5" s="29" t="s">
        <v>96</v>
      </c>
      <c r="X5" s="29" t="s">
        <v>6</v>
      </c>
      <c r="Y5" s="29" t="s">
        <v>7</v>
      </c>
      <c r="Z5" s="29" t="s">
        <v>6</v>
      </c>
      <c r="AA5" s="29" t="s">
        <v>96</v>
      </c>
      <c r="AB5" s="29" t="s">
        <v>6</v>
      </c>
      <c r="AC5" s="29" t="s">
        <v>7</v>
      </c>
      <c r="AD5" s="29" t="s">
        <v>6</v>
      </c>
      <c r="AE5" s="29" t="s">
        <v>96</v>
      </c>
      <c r="AF5" s="29" t="s">
        <v>6</v>
      </c>
      <c r="AG5" s="29" t="s">
        <v>7</v>
      </c>
      <c r="AH5" s="29" t="s">
        <v>6</v>
      </c>
      <c r="AI5" s="29" t="s">
        <v>96</v>
      </c>
      <c r="AJ5" s="29" t="s">
        <v>6</v>
      </c>
      <c r="AK5" s="29" t="s">
        <v>7</v>
      </c>
      <c r="AL5" s="29" t="s">
        <v>6</v>
      </c>
      <c r="AM5" s="29" t="s">
        <v>96</v>
      </c>
      <c r="AN5" s="29" t="s">
        <v>6</v>
      </c>
      <c r="AO5" s="29" t="s">
        <v>7</v>
      </c>
      <c r="AP5" s="29" t="s">
        <v>6</v>
      </c>
      <c r="AQ5" s="29" t="s">
        <v>96</v>
      </c>
      <c r="AR5" s="29" t="s">
        <v>6</v>
      </c>
      <c r="AS5" s="29" t="s">
        <v>7</v>
      </c>
      <c r="AT5" s="29" t="s">
        <v>6</v>
      </c>
      <c r="AU5" s="29" t="s">
        <v>96</v>
      </c>
      <c r="AV5" s="1068"/>
      <c r="AW5" s="1068"/>
      <c r="AX5" s="1068"/>
      <c r="AY5" s="1054"/>
      <c r="AZ5" s="1056"/>
    </row>
    <row r="6" spans="1:52" s="254" customFormat="1" ht="15.75">
      <c r="A6" s="180" t="s">
        <v>673</v>
      </c>
      <c r="B6" s="181" t="s">
        <v>674</v>
      </c>
      <c r="C6" s="191" t="s">
        <v>675</v>
      </c>
      <c r="D6" s="112">
        <v>150</v>
      </c>
      <c r="E6" s="112">
        <v>18</v>
      </c>
      <c r="F6" s="112">
        <v>100</v>
      </c>
      <c r="G6" s="112">
        <v>16.66</v>
      </c>
      <c r="H6" s="135"/>
      <c r="I6" s="135"/>
      <c r="J6" s="135"/>
      <c r="K6" s="135"/>
      <c r="L6" s="135"/>
      <c r="M6" s="135"/>
      <c r="N6" s="135"/>
      <c r="O6" s="135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141">
        <v>12</v>
      </c>
      <c r="AE6" s="141">
        <v>2</v>
      </c>
      <c r="AF6" s="252"/>
      <c r="AG6" s="252"/>
      <c r="AH6" s="252"/>
      <c r="AI6" s="252"/>
      <c r="AJ6" s="253"/>
      <c r="AK6" s="192"/>
      <c r="AL6" s="192">
        <v>150</v>
      </c>
      <c r="AM6" s="192">
        <v>10</v>
      </c>
      <c r="AN6" s="192"/>
      <c r="AO6" s="192"/>
      <c r="AP6" s="192"/>
      <c r="AQ6" s="192"/>
      <c r="AR6" s="192"/>
      <c r="AS6" s="192"/>
      <c r="AT6" s="192"/>
      <c r="AU6" s="192"/>
      <c r="AV6" s="192" t="s">
        <v>677</v>
      </c>
      <c r="AW6" s="42" t="s">
        <v>856</v>
      </c>
      <c r="AX6" s="145" t="s">
        <v>678</v>
      </c>
      <c r="AY6" s="145" t="s">
        <v>306</v>
      </c>
      <c r="AZ6" s="116" t="s">
        <v>306</v>
      </c>
    </row>
    <row r="7" spans="1:52" s="254" customFormat="1" ht="45">
      <c r="A7" s="181" t="s">
        <v>768</v>
      </c>
      <c r="B7" s="181" t="s">
        <v>769</v>
      </c>
      <c r="C7" s="68" t="s">
        <v>675</v>
      </c>
      <c r="D7" s="127">
        <v>0</v>
      </c>
      <c r="E7" s="127">
        <v>0</v>
      </c>
      <c r="F7" s="91">
        <v>27</v>
      </c>
      <c r="G7" s="91">
        <v>1.34</v>
      </c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141"/>
      <c r="AE7" s="141"/>
      <c r="AF7" s="255"/>
      <c r="AG7" s="255"/>
      <c r="AH7" s="255"/>
      <c r="AI7" s="255"/>
      <c r="AJ7" s="192">
        <v>50</v>
      </c>
      <c r="AK7" s="192">
        <v>0</v>
      </c>
      <c r="AL7" s="192">
        <v>150</v>
      </c>
      <c r="AM7" s="192">
        <v>3</v>
      </c>
      <c r="AN7" s="192"/>
      <c r="AO7" s="192"/>
      <c r="AP7" s="192"/>
      <c r="AQ7" s="192"/>
      <c r="AR7" s="192"/>
      <c r="AS7" s="192"/>
      <c r="AT7" s="192"/>
      <c r="AU7" s="192"/>
      <c r="AV7" s="192" t="s">
        <v>15</v>
      </c>
      <c r="AW7" s="42"/>
      <c r="AX7" s="145" t="s">
        <v>770</v>
      </c>
      <c r="AY7" s="145" t="s">
        <v>306</v>
      </c>
      <c r="AZ7" s="116" t="s">
        <v>771</v>
      </c>
    </row>
    <row r="8" spans="1:52" s="254" customFormat="1" ht="15.75">
      <c r="A8" s="182" t="s">
        <v>680</v>
      </c>
      <c r="B8" s="151" t="s">
        <v>29</v>
      </c>
      <c r="C8" s="145" t="s">
        <v>675</v>
      </c>
      <c r="D8" s="91">
        <v>0</v>
      </c>
      <c r="E8" s="128">
        <v>38</v>
      </c>
      <c r="F8" s="91">
        <v>25</v>
      </c>
      <c r="G8" s="91">
        <v>1.46</v>
      </c>
      <c r="H8" s="91"/>
      <c r="I8" s="91"/>
      <c r="J8" s="91"/>
      <c r="K8" s="91"/>
      <c r="L8" s="203">
        <v>0</v>
      </c>
      <c r="M8" s="203">
        <v>0</v>
      </c>
      <c r="N8" s="203">
        <v>90</v>
      </c>
      <c r="O8" s="203">
        <v>1.8</v>
      </c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>
        <v>3</v>
      </c>
      <c r="AC8" s="91">
        <v>0</v>
      </c>
      <c r="AD8" s="193"/>
      <c r="AE8" s="193"/>
      <c r="AF8" s="145"/>
      <c r="AG8" s="145"/>
      <c r="AH8" s="145"/>
      <c r="AI8" s="30"/>
      <c r="AJ8" s="30"/>
      <c r="AK8" s="30"/>
      <c r="AL8" s="30"/>
      <c r="AM8" s="30"/>
      <c r="AN8" s="55">
        <v>0</v>
      </c>
      <c r="AO8" s="55">
        <v>0</v>
      </c>
      <c r="AP8" s="55">
        <v>60</v>
      </c>
      <c r="AQ8" s="55">
        <v>5.18</v>
      </c>
      <c r="AR8" s="55"/>
      <c r="AS8" s="55"/>
      <c r="AT8" s="55"/>
      <c r="AU8" s="55"/>
      <c r="AV8" s="145" t="s">
        <v>12</v>
      </c>
      <c r="AW8" s="145"/>
      <c r="AX8" s="145" t="s">
        <v>280</v>
      </c>
      <c r="AY8" s="145" t="s">
        <v>306</v>
      </c>
      <c r="AZ8" s="116"/>
    </row>
    <row r="9" spans="1:52" s="254" customFormat="1" ht="15.75">
      <c r="A9" s="183" t="s">
        <v>885</v>
      </c>
      <c r="B9" s="174" t="s">
        <v>886</v>
      </c>
      <c r="C9" s="127" t="s">
        <v>675</v>
      </c>
      <c r="D9" s="127">
        <v>0</v>
      </c>
      <c r="E9" s="127">
        <v>12</v>
      </c>
      <c r="F9" s="91">
        <v>120</v>
      </c>
      <c r="G9" s="129">
        <v>0.75</v>
      </c>
      <c r="H9" s="136"/>
      <c r="I9" s="136"/>
      <c r="J9" s="136"/>
      <c r="K9" s="136"/>
      <c r="L9" s="136"/>
      <c r="M9" s="136"/>
      <c r="N9" s="136"/>
      <c r="O9" s="136"/>
      <c r="P9" s="252"/>
      <c r="Q9" s="252"/>
      <c r="R9" s="252"/>
      <c r="S9" s="252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141"/>
      <c r="AE9" s="141"/>
      <c r="AF9" s="255"/>
      <c r="AG9" s="255"/>
      <c r="AH9" s="255"/>
      <c r="AI9" s="255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42"/>
      <c r="AX9" s="145"/>
      <c r="AY9" s="145"/>
      <c r="AZ9" s="116"/>
    </row>
    <row r="10" spans="1:52" s="254" customFormat="1" ht="30">
      <c r="A10" s="183" t="s">
        <v>857</v>
      </c>
      <c r="B10" s="198" t="s">
        <v>858</v>
      </c>
      <c r="C10" s="33" t="s">
        <v>675</v>
      </c>
      <c r="D10" s="167"/>
      <c r="E10" s="167"/>
      <c r="F10" s="167"/>
      <c r="G10" s="167"/>
      <c r="H10" s="1069">
        <v>18</v>
      </c>
      <c r="I10" s="1069">
        <v>15</v>
      </c>
      <c r="J10" s="68" t="s">
        <v>610</v>
      </c>
      <c r="K10" s="145">
        <v>1.18</v>
      </c>
      <c r="L10" s="167"/>
      <c r="M10" s="167"/>
      <c r="N10" s="167"/>
      <c r="O10" s="167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5"/>
      <c r="AE10" s="255"/>
      <c r="AF10" s="252"/>
      <c r="AG10" s="252"/>
      <c r="AH10" s="252"/>
      <c r="AI10" s="252"/>
      <c r="AJ10" s="255"/>
      <c r="AK10" s="255"/>
      <c r="AL10" s="255"/>
      <c r="AM10" s="255"/>
      <c r="AN10" s="145">
        <v>10</v>
      </c>
      <c r="AO10" s="110">
        <v>7</v>
      </c>
      <c r="AP10" s="145"/>
      <c r="AQ10" s="30">
        <v>10.96</v>
      </c>
      <c r="AR10" s="30"/>
      <c r="AS10" s="30"/>
      <c r="AT10" s="30"/>
      <c r="AU10" s="30"/>
      <c r="AV10" s="2" t="s">
        <v>561</v>
      </c>
      <c r="AW10" s="145" t="s">
        <v>859</v>
      </c>
      <c r="AX10" s="97"/>
      <c r="AY10" s="170" t="s">
        <v>306</v>
      </c>
      <c r="AZ10" s="116" t="s">
        <v>860</v>
      </c>
    </row>
    <row r="11" spans="1:52" s="254" customFormat="1" ht="31.5">
      <c r="A11" s="201" t="s">
        <v>137</v>
      </c>
      <c r="B11" s="198" t="s">
        <v>928</v>
      </c>
      <c r="C11" s="33" t="s">
        <v>675</v>
      </c>
      <c r="D11" s="167"/>
      <c r="E11" s="167"/>
      <c r="F11" s="167"/>
      <c r="G11" s="167"/>
      <c r="H11" s="1070"/>
      <c r="I11" s="1070"/>
      <c r="J11" s="68"/>
      <c r="K11" s="145"/>
      <c r="L11" s="204">
        <v>180</v>
      </c>
      <c r="M11" s="205">
        <v>0</v>
      </c>
      <c r="N11" s="204">
        <v>0</v>
      </c>
      <c r="O11" s="206">
        <v>0</v>
      </c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5"/>
      <c r="AE11" s="255"/>
      <c r="AF11" s="252"/>
      <c r="AG11" s="252"/>
      <c r="AH11" s="252"/>
      <c r="AI11" s="252"/>
      <c r="AJ11" s="255"/>
      <c r="AK11" s="255"/>
      <c r="AL11" s="255"/>
      <c r="AM11" s="255"/>
      <c r="AN11" s="145"/>
      <c r="AO11" s="110"/>
      <c r="AP11" s="145"/>
      <c r="AQ11" s="30"/>
      <c r="AR11" s="30"/>
      <c r="AS11" s="30"/>
      <c r="AT11" s="30"/>
      <c r="AU11" s="30"/>
      <c r="AV11" s="205" t="s">
        <v>15</v>
      </c>
      <c r="AW11" s="205" t="s">
        <v>862</v>
      </c>
      <c r="AX11" s="206" t="s">
        <v>297</v>
      </c>
      <c r="AY11" s="206" t="s">
        <v>306</v>
      </c>
      <c r="AZ11" s="116" t="s">
        <v>306</v>
      </c>
    </row>
    <row r="12" spans="1:52" s="256" customFormat="1" ht="15.75">
      <c r="A12" s="184" t="s">
        <v>128</v>
      </c>
      <c r="B12" s="151" t="s">
        <v>24</v>
      </c>
      <c r="C12" s="33" t="s">
        <v>22</v>
      </c>
      <c r="D12" s="5"/>
      <c r="E12" s="5"/>
      <c r="F12" s="5"/>
      <c r="G12" s="5"/>
      <c r="H12" s="1071"/>
      <c r="I12" s="1071"/>
      <c r="J12" s="68">
        <v>16</v>
      </c>
      <c r="K12" s="145">
        <v>27.26</v>
      </c>
      <c r="L12" s="206">
        <v>8</v>
      </c>
      <c r="M12" s="206">
        <v>6</v>
      </c>
      <c r="N12" s="203">
        <v>16</v>
      </c>
      <c r="O12" s="206">
        <v>37.9</v>
      </c>
      <c r="P12" s="68">
        <v>3</v>
      </c>
      <c r="Q12" s="68">
        <v>24</v>
      </c>
      <c r="R12" s="68">
        <v>24</v>
      </c>
      <c r="S12" s="68">
        <v>41.8</v>
      </c>
      <c r="T12" s="68"/>
      <c r="U12" s="68"/>
      <c r="V12" s="68"/>
      <c r="W12" s="68"/>
      <c r="X12" s="195">
        <v>16</v>
      </c>
      <c r="Y12" s="195">
        <v>15</v>
      </c>
      <c r="Z12" s="195">
        <v>16</v>
      </c>
      <c r="AA12" s="195">
        <v>9.66</v>
      </c>
      <c r="AB12" s="5">
        <v>32</v>
      </c>
      <c r="AC12" s="5">
        <v>23</v>
      </c>
      <c r="AD12" s="5" t="s">
        <v>679</v>
      </c>
      <c r="AE12" s="145">
        <v>34.48</v>
      </c>
      <c r="AF12" s="5">
        <v>2</v>
      </c>
      <c r="AG12" s="5">
        <v>0</v>
      </c>
      <c r="AH12" s="145">
        <v>30</v>
      </c>
      <c r="AI12" s="145">
        <v>6.93</v>
      </c>
      <c r="AJ12" s="192"/>
      <c r="AK12" s="192"/>
      <c r="AL12" s="192"/>
      <c r="AM12" s="192"/>
      <c r="AN12" s="55">
        <v>6</v>
      </c>
      <c r="AO12" s="55">
        <v>4</v>
      </c>
      <c r="AP12" s="55">
        <v>32</v>
      </c>
      <c r="AQ12" s="55">
        <v>9.68</v>
      </c>
      <c r="AR12" s="55"/>
      <c r="AS12" s="55"/>
      <c r="AT12" s="55"/>
      <c r="AU12" s="55"/>
      <c r="AV12" s="42" t="s">
        <v>270</v>
      </c>
      <c r="AW12" s="42" t="s">
        <v>278</v>
      </c>
      <c r="AX12" s="145" t="s">
        <v>148</v>
      </c>
      <c r="AY12" s="145" t="s">
        <v>306</v>
      </c>
      <c r="AZ12" s="116" t="s">
        <v>100</v>
      </c>
    </row>
    <row r="13" spans="1:52" s="254" customFormat="1" ht="33.75" customHeight="1">
      <c r="A13" s="182" t="s">
        <v>774</v>
      </c>
      <c r="B13" s="151" t="s">
        <v>887</v>
      </c>
      <c r="C13" s="5" t="s">
        <v>888</v>
      </c>
      <c r="D13" s="145">
        <v>0</v>
      </c>
      <c r="E13" s="145">
        <v>11</v>
      </c>
      <c r="F13" s="145">
        <v>40</v>
      </c>
      <c r="G13" s="145">
        <v>2.02</v>
      </c>
      <c r="H13" s="145"/>
      <c r="I13" s="145"/>
      <c r="J13" s="145"/>
      <c r="K13" s="145"/>
      <c r="L13" s="145"/>
      <c r="M13" s="145"/>
      <c r="N13" s="145"/>
      <c r="O13" s="145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5">
        <v>174</v>
      </c>
      <c r="AG13" s="5">
        <v>111</v>
      </c>
      <c r="AH13" s="33"/>
      <c r="AI13" s="145"/>
      <c r="AJ13" s="145"/>
      <c r="AK13" s="145"/>
      <c r="AL13" s="192">
        <v>544</v>
      </c>
      <c r="AM13" s="192">
        <v>33.83</v>
      </c>
      <c r="AN13" s="192"/>
      <c r="AO13" s="192"/>
      <c r="AP13" s="192"/>
      <c r="AQ13" s="192"/>
      <c r="AR13" s="2">
        <v>0</v>
      </c>
      <c r="AS13" s="2">
        <v>0</v>
      </c>
      <c r="AT13" s="2">
        <v>13</v>
      </c>
      <c r="AU13" s="2">
        <v>3.25</v>
      </c>
      <c r="AV13" s="257" t="s">
        <v>81</v>
      </c>
      <c r="AW13" s="257">
        <v>16</v>
      </c>
      <c r="AX13" s="145" t="s">
        <v>775</v>
      </c>
      <c r="AY13" s="145" t="s">
        <v>548</v>
      </c>
      <c r="AZ13" s="116" t="s">
        <v>776</v>
      </c>
    </row>
    <row r="14" spans="1:52" s="254" customFormat="1" ht="33.75" customHeight="1">
      <c r="A14" s="201" t="s">
        <v>784</v>
      </c>
      <c r="B14" s="198" t="s">
        <v>930</v>
      </c>
      <c r="C14" s="1028" t="s">
        <v>97</v>
      </c>
      <c r="D14" s="150"/>
      <c r="E14" s="150"/>
      <c r="F14" s="150"/>
      <c r="G14" s="150"/>
      <c r="H14" s="145"/>
      <c r="I14" s="145"/>
      <c r="J14" s="145"/>
      <c r="K14" s="145"/>
      <c r="L14" s="206">
        <v>120</v>
      </c>
      <c r="M14" s="206">
        <v>0</v>
      </c>
      <c r="N14" s="203">
        <v>120</v>
      </c>
      <c r="O14" s="206">
        <v>13.94</v>
      </c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68"/>
      <c r="AC14" s="68"/>
      <c r="AD14" s="68"/>
      <c r="AE14" s="68"/>
      <c r="AF14" s="193"/>
      <c r="AG14" s="193"/>
      <c r="AH14" s="168"/>
      <c r="AI14" s="150"/>
      <c r="AJ14" s="145"/>
      <c r="AK14" s="145"/>
      <c r="AL14" s="192"/>
      <c r="AM14" s="192"/>
      <c r="AN14" s="192"/>
      <c r="AO14" s="192"/>
      <c r="AP14" s="192"/>
      <c r="AQ14" s="192"/>
      <c r="AR14" s="2">
        <v>0</v>
      </c>
      <c r="AS14" s="2">
        <v>0</v>
      </c>
      <c r="AT14" s="2">
        <v>13</v>
      </c>
      <c r="AU14" s="2">
        <v>1.15</v>
      </c>
      <c r="AV14" s="206" t="s">
        <v>269</v>
      </c>
      <c r="AW14" s="207" t="s">
        <v>931</v>
      </c>
      <c r="AX14" s="206" t="s">
        <v>297</v>
      </c>
      <c r="AY14" s="206" t="s">
        <v>306</v>
      </c>
      <c r="AZ14" s="208" t="s">
        <v>306</v>
      </c>
    </row>
    <row r="15" spans="1:52" s="254" customFormat="1" ht="60">
      <c r="A15" s="183" t="s">
        <v>136</v>
      </c>
      <c r="B15" s="151" t="s">
        <v>772</v>
      </c>
      <c r="C15" s="1029"/>
      <c r="D15" s="193"/>
      <c r="E15" s="193"/>
      <c r="F15" s="193"/>
      <c r="G15" s="193"/>
      <c r="H15" s="68">
        <v>160</v>
      </c>
      <c r="I15" s="55">
        <v>118</v>
      </c>
      <c r="J15" s="68">
        <v>160</v>
      </c>
      <c r="K15" s="68">
        <v>4.2</v>
      </c>
      <c r="L15" s="193"/>
      <c r="M15" s="193"/>
      <c r="N15" s="193"/>
      <c r="O15" s="193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68"/>
      <c r="AC15" s="68"/>
      <c r="AD15" s="68"/>
      <c r="AE15" s="68"/>
      <c r="AF15" s="193"/>
      <c r="AG15" s="193"/>
      <c r="AH15" s="168"/>
      <c r="AI15" s="150"/>
      <c r="AJ15" s="145"/>
      <c r="AK15" s="145"/>
      <c r="AL15" s="145">
        <v>512</v>
      </c>
      <c r="AM15" s="145">
        <v>2.87</v>
      </c>
      <c r="AN15" s="145"/>
      <c r="AO15" s="145"/>
      <c r="AP15" s="145"/>
      <c r="AQ15" s="145"/>
      <c r="AR15" s="145"/>
      <c r="AS15" s="145"/>
      <c r="AT15" s="145"/>
      <c r="AU15" s="145"/>
      <c r="AV15" s="145" t="s">
        <v>12</v>
      </c>
      <c r="AW15" s="145">
        <v>8</v>
      </c>
      <c r="AX15" s="145" t="s">
        <v>773</v>
      </c>
      <c r="AY15" s="145" t="s">
        <v>548</v>
      </c>
      <c r="AZ15" s="116" t="s">
        <v>773</v>
      </c>
    </row>
    <row r="16" spans="1:52" s="256" customFormat="1" ht="30">
      <c r="A16" s="183" t="s">
        <v>133</v>
      </c>
      <c r="B16" s="156" t="s">
        <v>25</v>
      </c>
      <c r="C16" s="1029"/>
      <c r="D16" s="112">
        <v>0</v>
      </c>
      <c r="E16" s="112">
        <v>0</v>
      </c>
      <c r="F16" s="112">
        <v>12</v>
      </c>
      <c r="G16" s="112">
        <v>0.89</v>
      </c>
      <c r="H16" s="68">
        <v>260</v>
      </c>
      <c r="I16" s="68">
        <v>44</v>
      </c>
      <c r="J16" s="68">
        <v>60</v>
      </c>
      <c r="K16" s="145">
        <v>11.4</v>
      </c>
      <c r="L16" s="206">
        <v>60</v>
      </c>
      <c r="M16" s="209">
        <v>132</v>
      </c>
      <c r="N16" s="203">
        <v>60</v>
      </c>
      <c r="O16" s="206">
        <v>9.59</v>
      </c>
      <c r="P16" s="141">
        <v>20</v>
      </c>
      <c r="Q16" s="141">
        <v>0</v>
      </c>
      <c r="R16" s="141">
        <v>80</v>
      </c>
      <c r="S16" s="141">
        <v>9.72</v>
      </c>
      <c r="T16" s="150"/>
      <c r="U16" s="150"/>
      <c r="V16" s="150">
        <v>24</v>
      </c>
      <c r="W16" s="150">
        <v>4.03</v>
      </c>
      <c r="X16" s="195">
        <v>36</v>
      </c>
      <c r="Y16" s="195">
        <v>25</v>
      </c>
      <c r="Z16" s="195">
        <v>16</v>
      </c>
      <c r="AA16" s="195">
        <v>4.74</v>
      </c>
      <c r="AB16" s="145">
        <v>140</v>
      </c>
      <c r="AC16" s="145">
        <v>102</v>
      </c>
      <c r="AD16" s="145">
        <v>140</v>
      </c>
      <c r="AE16" s="145">
        <v>24.75</v>
      </c>
      <c r="AF16" s="150">
        <v>250</v>
      </c>
      <c r="AG16" s="150">
        <v>223</v>
      </c>
      <c r="AH16" s="150">
        <v>200</v>
      </c>
      <c r="AI16" s="105">
        <v>45</v>
      </c>
      <c r="AJ16" s="192">
        <v>188</v>
      </c>
      <c r="AK16" s="192">
        <v>105</v>
      </c>
      <c r="AL16" s="192">
        <v>188</v>
      </c>
      <c r="AM16" s="192">
        <v>32.9</v>
      </c>
      <c r="AN16" s="145">
        <v>500</v>
      </c>
      <c r="AO16" s="145">
        <v>33</v>
      </c>
      <c r="AP16" s="145">
        <v>500</v>
      </c>
      <c r="AQ16" s="30">
        <v>142.6</v>
      </c>
      <c r="AR16" s="105"/>
      <c r="AS16" s="105"/>
      <c r="AT16" s="105"/>
      <c r="AU16" s="105"/>
      <c r="AV16" s="192" t="s">
        <v>269</v>
      </c>
      <c r="AW16" s="192" t="s">
        <v>931</v>
      </c>
      <c r="AX16" s="150" t="s">
        <v>149</v>
      </c>
      <c r="AY16" s="150" t="s">
        <v>306</v>
      </c>
      <c r="AZ16" s="161" t="s">
        <v>268</v>
      </c>
    </row>
    <row r="17" spans="1:52" s="256" customFormat="1" ht="31.5">
      <c r="A17" s="184" t="s">
        <v>129</v>
      </c>
      <c r="B17" s="151" t="s">
        <v>26</v>
      </c>
      <c r="C17" s="1029"/>
      <c r="D17" s="5"/>
      <c r="E17" s="5"/>
      <c r="F17" s="5"/>
      <c r="G17" s="5"/>
      <c r="H17" s="68">
        <v>19</v>
      </c>
      <c r="I17" s="68">
        <v>16</v>
      </c>
      <c r="J17" s="68">
        <v>16</v>
      </c>
      <c r="K17" s="145">
        <v>29</v>
      </c>
      <c r="L17" s="206">
        <v>10</v>
      </c>
      <c r="M17" s="206">
        <v>7</v>
      </c>
      <c r="N17" s="203">
        <v>20</v>
      </c>
      <c r="O17" s="206">
        <v>45.14</v>
      </c>
      <c r="P17" s="68">
        <v>2</v>
      </c>
      <c r="Q17" s="68">
        <v>0</v>
      </c>
      <c r="R17" s="68">
        <v>32</v>
      </c>
      <c r="S17" s="68">
        <v>28.12</v>
      </c>
      <c r="T17" s="68"/>
      <c r="U17" s="68"/>
      <c r="V17" s="68"/>
      <c r="W17" s="68"/>
      <c r="X17" s="195">
        <v>16</v>
      </c>
      <c r="Y17" s="195">
        <v>13</v>
      </c>
      <c r="Z17" s="195">
        <v>16</v>
      </c>
      <c r="AA17" s="195">
        <v>11.4</v>
      </c>
      <c r="AB17" s="145">
        <v>24</v>
      </c>
      <c r="AC17" s="145">
        <v>14</v>
      </c>
      <c r="AD17" s="145">
        <v>12</v>
      </c>
      <c r="AE17" s="30">
        <v>20.26</v>
      </c>
      <c r="AF17" s="145">
        <v>18</v>
      </c>
      <c r="AG17" s="145">
        <v>7</v>
      </c>
      <c r="AH17" s="145">
        <v>18</v>
      </c>
      <c r="AI17" s="145">
        <v>36.47</v>
      </c>
      <c r="AJ17" s="192"/>
      <c r="AK17" s="192"/>
      <c r="AL17" s="192"/>
      <c r="AM17" s="192"/>
      <c r="AN17" s="55">
        <v>12</v>
      </c>
      <c r="AO17" s="55">
        <v>8</v>
      </c>
      <c r="AP17" s="55">
        <v>48</v>
      </c>
      <c r="AQ17" s="55">
        <v>89.04</v>
      </c>
      <c r="AR17" s="55"/>
      <c r="AS17" s="55"/>
      <c r="AT17" s="55"/>
      <c r="AU17" s="55"/>
      <c r="AV17" s="145" t="s">
        <v>271</v>
      </c>
      <c r="AW17" s="42" t="s">
        <v>966</v>
      </c>
      <c r="AX17" s="145" t="s">
        <v>272</v>
      </c>
      <c r="AY17" s="145" t="s">
        <v>306</v>
      </c>
      <c r="AZ17" s="161" t="s">
        <v>273</v>
      </c>
    </row>
    <row r="18" spans="1:52" s="256" customFormat="1" ht="15.75">
      <c r="A18" s="184"/>
      <c r="B18" s="35" t="s">
        <v>304</v>
      </c>
      <c r="C18" s="1029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>
        <v>25</v>
      </c>
      <c r="AG18" s="5">
        <v>51</v>
      </c>
      <c r="AH18" s="145"/>
      <c r="AI18" s="145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45" t="s">
        <v>12</v>
      </c>
      <c r="AW18" s="145"/>
      <c r="AX18" s="145" t="s">
        <v>28</v>
      </c>
      <c r="AY18" s="145" t="s">
        <v>306</v>
      </c>
      <c r="AZ18" s="116" t="s">
        <v>106</v>
      </c>
    </row>
    <row r="19" spans="1:52" s="256" customFormat="1" ht="15.75">
      <c r="A19" s="184" t="s">
        <v>131</v>
      </c>
      <c r="B19" s="151" t="s">
        <v>29</v>
      </c>
      <c r="C19" s="1029"/>
      <c r="D19" s="112">
        <v>740</v>
      </c>
      <c r="E19" s="112">
        <v>102</v>
      </c>
      <c r="F19" s="112">
        <v>540</v>
      </c>
      <c r="G19" s="112">
        <v>14.35</v>
      </c>
      <c r="H19" s="91">
        <f>30*38</f>
        <v>1140</v>
      </c>
      <c r="I19" s="137">
        <v>0</v>
      </c>
      <c r="J19" s="91">
        <f>30*38</f>
        <v>1140</v>
      </c>
      <c r="K19" s="129">
        <v>10</v>
      </c>
      <c r="L19" s="209">
        <v>15</v>
      </c>
      <c r="M19" s="209">
        <v>24</v>
      </c>
      <c r="N19" s="203">
        <v>20</v>
      </c>
      <c r="O19" s="210">
        <v>2.4</v>
      </c>
      <c r="P19" s="68">
        <v>450</v>
      </c>
      <c r="Q19" s="68">
        <v>0</v>
      </c>
      <c r="R19" s="68">
        <v>450</v>
      </c>
      <c r="S19" s="68">
        <v>32.04</v>
      </c>
      <c r="T19" s="145">
        <v>50</v>
      </c>
      <c r="U19" s="145">
        <v>0</v>
      </c>
      <c r="V19" s="145">
        <v>50</v>
      </c>
      <c r="W19" s="145">
        <v>1.22</v>
      </c>
      <c r="X19" s="145"/>
      <c r="Y19" s="145"/>
      <c r="Z19" s="145"/>
      <c r="AA19" s="145"/>
      <c r="AB19" s="145">
        <v>30</v>
      </c>
      <c r="AC19" s="145">
        <v>0</v>
      </c>
      <c r="AD19" s="145">
        <v>510</v>
      </c>
      <c r="AE19" s="145">
        <v>15.61</v>
      </c>
      <c r="AF19" s="145">
        <v>97</v>
      </c>
      <c r="AG19" s="5">
        <v>28</v>
      </c>
      <c r="AH19" s="145">
        <v>74</v>
      </c>
      <c r="AI19" s="30">
        <v>3.4</v>
      </c>
      <c r="AJ19" s="192"/>
      <c r="AK19" s="192"/>
      <c r="AL19" s="192"/>
      <c r="AM19" s="192"/>
      <c r="AN19" s="55" t="s">
        <v>610</v>
      </c>
      <c r="AO19" s="55" t="s">
        <v>610</v>
      </c>
      <c r="AP19" s="55">
        <v>1680</v>
      </c>
      <c r="AQ19" s="55">
        <v>74.31</v>
      </c>
      <c r="AR19" s="55"/>
      <c r="AS19" s="55"/>
      <c r="AT19" s="55"/>
      <c r="AU19" s="55"/>
      <c r="AV19" s="145" t="s">
        <v>23</v>
      </c>
      <c r="AW19" s="145">
        <v>25</v>
      </c>
      <c r="AX19" s="145" t="s">
        <v>150</v>
      </c>
      <c r="AY19" s="145" t="s">
        <v>306</v>
      </c>
      <c r="AZ19" s="116" t="s">
        <v>275</v>
      </c>
    </row>
    <row r="20" spans="1:52" s="256" customFormat="1" ht="45">
      <c r="A20" s="184" t="s">
        <v>130</v>
      </c>
      <c r="B20" s="151" t="s">
        <v>27</v>
      </c>
      <c r="C20" s="1029"/>
      <c r="D20" s="127">
        <v>0</v>
      </c>
      <c r="E20" s="127">
        <v>71</v>
      </c>
      <c r="F20" s="127">
        <v>72</v>
      </c>
      <c r="G20" s="127">
        <v>16.55</v>
      </c>
      <c r="H20" s="68">
        <v>75</v>
      </c>
      <c r="I20" s="68">
        <v>390</v>
      </c>
      <c r="J20" s="68">
        <v>180</v>
      </c>
      <c r="K20" s="145">
        <v>21.6</v>
      </c>
      <c r="L20" s="205">
        <v>75</v>
      </c>
      <c r="M20" s="206">
        <v>94</v>
      </c>
      <c r="N20" s="203">
        <v>50</v>
      </c>
      <c r="O20" s="206">
        <v>13.8</v>
      </c>
      <c r="P20" s="68">
        <v>12</v>
      </c>
      <c r="Q20" s="68">
        <v>0</v>
      </c>
      <c r="R20" s="68">
        <v>72</v>
      </c>
      <c r="S20" s="68">
        <v>15.97</v>
      </c>
      <c r="T20" s="145">
        <v>16</v>
      </c>
      <c r="U20" s="145">
        <v>9</v>
      </c>
      <c r="V20" s="145">
        <v>16</v>
      </c>
      <c r="W20" s="145">
        <v>3.61</v>
      </c>
      <c r="X20" s="195">
        <v>26</v>
      </c>
      <c r="Y20" s="195">
        <v>20</v>
      </c>
      <c r="Z20" s="195">
        <v>20</v>
      </c>
      <c r="AA20" s="195">
        <v>5.38</v>
      </c>
      <c r="AB20" s="145">
        <v>90</v>
      </c>
      <c r="AC20" s="145">
        <v>103</v>
      </c>
      <c r="AD20" s="145">
        <f>AG20*AH20</f>
        <v>2520</v>
      </c>
      <c r="AE20" s="30">
        <v>18</v>
      </c>
      <c r="AF20" s="145">
        <v>69</v>
      </c>
      <c r="AG20" s="5">
        <v>42</v>
      </c>
      <c r="AH20" s="145">
        <v>60</v>
      </c>
      <c r="AI20" s="30">
        <v>33</v>
      </c>
      <c r="AJ20" s="192">
        <v>166</v>
      </c>
      <c r="AK20" s="192">
        <v>67</v>
      </c>
      <c r="AL20" s="192">
        <v>152</v>
      </c>
      <c r="AM20" s="192">
        <v>27.9</v>
      </c>
      <c r="AN20" s="55">
        <v>20</v>
      </c>
      <c r="AO20" s="55" t="s">
        <v>610</v>
      </c>
      <c r="AP20" s="55">
        <v>90</v>
      </c>
      <c r="AQ20" s="55">
        <v>41.64</v>
      </c>
      <c r="AR20" s="55"/>
      <c r="AS20" s="55"/>
      <c r="AT20" s="55"/>
      <c r="AU20" s="55"/>
      <c r="AV20" s="145" t="s">
        <v>698</v>
      </c>
      <c r="AW20" s="145" t="s">
        <v>967</v>
      </c>
      <c r="AX20" s="145" t="s">
        <v>276</v>
      </c>
      <c r="AY20" s="145" t="s">
        <v>306</v>
      </c>
      <c r="AZ20" s="116" t="s">
        <v>107</v>
      </c>
    </row>
    <row r="21" spans="1:52" s="256" customFormat="1" ht="15.75">
      <c r="A21" s="184" t="s">
        <v>635</v>
      </c>
      <c r="B21" s="151" t="s">
        <v>636</v>
      </c>
      <c r="C21" s="1030"/>
      <c r="D21" s="193"/>
      <c r="E21" s="193"/>
      <c r="F21" s="193"/>
      <c r="G21" s="193"/>
      <c r="H21" s="193"/>
      <c r="I21" s="193"/>
      <c r="J21" s="193"/>
      <c r="K21" s="193"/>
      <c r="L21" s="210">
        <v>0</v>
      </c>
      <c r="M21" s="210">
        <v>0</v>
      </c>
      <c r="N21" s="203">
        <v>675</v>
      </c>
      <c r="O21" s="210">
        <v>27</v>
      </c>
      <c r="P21" s="141"/>
      <c r="Q21" s="141"/>
      <c r="R21" s="141"/>
      <c r="S21" s="141"/>
      <c r="T21" s="145">
        <v>650</v>
      </c>
      <c r="U21" s="145">
        <v>0</v>
      </c>
      <c r="V21" s="145">
        <v>650</v>
      </c>
      <c r="W21" s="145">
        <v>6.93</v>
      </c>
      <c r="X21" s="145"/>
      <c r="Y21" s="145"/>
      <c r="Z21" s="145"/>
      <c r="AA21" s="145"/>
      <c r="AB21" s="145"/>
      <c r="AC21" s="145"/>
      <c r="AD21" s="145"/>
      <c r="AE21" s="145"/>
      <c r="AF21" s="145"/>
      <c r="AG21" s="5"/>
      <c r="AH21" s="145"/>
      <c r="AI21" s="30"/>
      <c r="AJ21" s="192">
        <v>249</v>
      </c>
      <c r="AK21" s="192">
        <v>0</v>
      </c>
      <c r="AL21" s="192">
        <v>20439</v>
      </c>
      <c r="AM21" s="192">
        <v>24.9</v>
      </c>
      <c r="AN21" s="192"/>
      <c r="AO21" s="192"/>
      <c r="AP21" s="192"/>
      <c r="AQ21" s="192"/>
      <c r="AR21" s="192"/>
      <c r="AS21" s="192"/>
      <c r="AT21" s="192"/>
      <c r="AU21" s="192"/>
      <c r="AV21" s="145" t="s">
        <v>15</v>
      </c>
      <c r="AW21" s="145">
        <v>25</v>
      </c>
      <c r="AX21" s="145" t="s">
        <v>637</v>
      </c>
      <c r="AY21" s="145" t="s">
        <v>306</v>
      </c>
      <c r="AZ21" s="116" t="s">
        <v>328</v>
      </c>
    </row>
    <row r="22" spans="1:52" s="254" customFormat="1" ht="45">
      <c r="A22" s="184" t="s">
        <v>780</v>
      </c>
      <c r="B22" s="96" t="s">
        <v>769</v>
      </c>
      <c r="C22" s="192" t="s">
        <v>781</v>
      </c>
      <c r="D22" s="127">
        <v>0</v>
      </c>
      <c r="E22" s="127">
        <v>0</v>
      </c>
      <c r="F22" s="91">
        <v>54</v>
      </c>
      <c r="G22" s="91">
        <v>1.53</v>
      </c>
      <c r="H22" s="144"/>
      <c r="I22" s="144"/>
      <c r="J22" s="144"/>
      <c r="K22" s="144"/>
      <c r="L22" s="144"/>
      <c r="M22" s="144"/>
      <c r="N22" s="144"/>
      <c r="O22" s="144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>
        <v>34</v>
      </c>
      <c r="AK22" s="192">
        <v>34</v>
      </c>
      <c r="AL22" s="192">
        <v>1256</v>
      </c>
      <c r="AM22" s="192">
        <v>5.1</v>
      </c>
      <c r="AN22" s="192"/>
      <c r="AO22" s="192"/>
      <c r="AP22" s="192"/>
      <c r="AQ22" s="192"/>
      <c r="AR22" s="192"/>
      <c r="AS22" s="192"/>
      <c r="AT22" s="192"/>
      <c r="AU22" s="192"/>
      <c r="AV22" s="2" t="s">
        <v>15</v>
      </c>
      <c r="AW22" s="2"/>
      <c r="AX22" s="2" t="s">
        <v>782</v>
      </c>
      <c r="AY22" s="2" t="s">
        <v>306</v>
      </c>
      <c r="AZ22" s="118" t="s">
        <v>783</v>
      </c>
    </row>
    <row r="23" spans="1:52" s="254" customFormat="1" ht="15.75">
      <c r="A23" s="184"/>
      <c r="B23" s="151" t="s">
        <v>114</v>
      </c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45">
        <v>824</v>
      </c>
      <c r="AG23" s="5">
        <v>274</v>
      </c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 t="s">
        <v>111</v>
      </c>
      <c r="AW23" s="145"/>
      <c r="AX23" s="145" t="s">
        <v>64</v>
      </c>
      <c r="AY23" s="145"/>
      <c r="AZ23" s="258"/>
    </row>
    <row r="24" spans="1:52" s="260" customFormat="1" ht="15.75">
      <c r="A24" s="26"/>
      <c r="B24" s="1027" t="s">
        <v>30</v>
      </c>
      <c r="C24" s="1027"/>
      <c r="D24" s="153">
        <f>SUM(D6:D23)</f>
        <v>890</v>
      </c>
      <c r="E24" s="153">
        <f aca="true" t="shared" si="0" ref="E24:AU24">SUM(E6:E23)</f>
        <v>252</v>
      </c>
      <c r="F24" s="153">
        <f t="shared" si="0"/>
        <v>990</v>
      </c>
      <c r="G24" s="153">
        <f t="shared" si="0"/>
        <v>55.55</v>
      </c>
      <c r="H24" s="153">
        <f t="shared" si="0"/>
        <v>1672</v>
      </c>
      <c r="I24" s="153">
        <f t="shared" si="0"/>
        <v>583</v>
      </c>
      <c r="J24" s="153">
        <f t="shared" si="0"/>
        <v>1572</v>
      </c>
      <c r="K24" s="153">
        <f t="shared" si="0"/>
        <v>104.63999999999999</v>
      </c>
      <c r="L24" s="153">
        <f t="shared" si="0"/>
        <v>468</v>
      </c>
      <c r="M24" s="153">
        <f t="shared" si="0"/>
        <v>263</v>
      </c>
      <c r="N24" s="153">
        <f t="shared" si="0"/>
        <v>1051</v>
      </c>
      <c r="O24" s="153">
        <f t="shared" si="0"/>
        <v>151.57</v>
      </c>
      <c r="P24" s="153">
        <f t="shared" si="0"/>
        <v>487</v>
      </c>
      <c r="Q24" s="153">
        <f t="shared" si="0"/>
        <v>24</v>
      </c>
      <c r="R24" s="153">
        <f t="shared" si="0"/>
        <v>658</v>
      </c>
      <c r="S24" s="153">
        <f t="shared" si="0"/>
        <v>127.65</v>
      </c>
      <c r="T24" s="153">
        <f t="shared" si="0"/>
        <v>716</v>
      </c>
      <c r="U24" s="153">
        <f t="shared" si="0"/>
        <v>9</v>
      </c>
      <c r="V24" s="153">
        <f t="shared" si="0"/>
        <v>740</v>
      </c>
      <c r="W24" s="153">
        <f t="shared" si="0"/>
        <v>15.79</v>
      </c>
      <c r="X24" s="153">
        <f t="shared" si="0"/>
        <v>94</v>
      </c>
      <c r="Y24" s="153">
        <f t="shared" si="0"/>
        <v>73</v>
      </c>
      <c r="Z24" s="153">
        <f t="shared" si="0"/>
        <v>68</v>
      </c>
      <c r="AA24" s="153">
        <f t="shared" si="0"/>
        <v>31.18</v>
      </c>
      <c r="AB24" s="153">
        <f t="shared" si="0"/>
        <v>319</v>
      </c>
      <c r="AC24" s="153">
        <f t="shared" si="0"/>
        <v>242</v>
      </c>
      <c r="AD24" s="153">
        <f t="shared" si="0"/>
        <v>3194</v>
      </c>
      <c r="AE24" s="153">
        <f t="shared" si="0"/>
        <v>115.1</v>
      </c>
      <c r="AF24" s="153">
        <f t="shared" si="0"/>
        <v>1459</v>
      </c>
      <c r="AG24" s="153">
        <f t="shared" si="0"/>
        <v>736</v>
      </c>
      <c r="AH24" s="153">
        <f t="shared" si="0"/>
        <v>382</v>
      </c>
      <c r="AI24" s="153">
        <f t="shared" si="0"/>
        <v>124.80000000000001</v>
      </c>
      <c r="AJ24" s="153">
        <f t="shared" si="0"/>
        <v>687</v>
      </c>
      <c r="AK24" s="153">
        <f t="shared" si="0"/>
        <v>206</v>
      </c>
      <c r="AL24" s="153">
        <f t="shared" si="0"/>
        <v>23391</v>
      </c>
      <c r="AM24" s="153">
        <f t="shared" si="0"/>
        <v>140.5</v>
      </c>
      <c r="AN24" s="153">
        <f t="shared" si="0"/>
        <v>548</v>
      </c>
      <c r="AO24" s="153">
        <f t="shared" si="0"/>
        <v>52</v>
      </c>
      <c r="AP24" s="153">
        <f t="shared" si="0"/>
        <v>2410</v>
      </c>
      <c r="AQ24" s="153">
        <f t="shared" si="0"/>
        <v>373.40999999999997</v>
      </c>
      <c r="AR24" s="153">
        <f t="shared" si="0"/>
        <v>0</v>
      </c>
      <c r="AS24" s="153">
        <f t="shared" si="0"/>
        <v>0</v>
      </c>
      <c r="AT24" s="153">
        <f t="shared" si="0"/>
        <v>26</v>
      </c>
      <c r="AU24" s="153">
        <f t="shared" si="0"/>
        <v>4.4</v>
      </c>
      <c r="AV24" s="242"/>
      <c r="AW24" s="242"/>
      <c r="AX24" s="242"/>
      <c r="AY24" s="242"/>
      <c r="AZ24" s="259"/>
    </row>
    <row r="25" spans="1:52" s="254" customFormat="1" ht="15.75">
      <c r="A25" s="185" t="s">
        <v>123</v>
      </c>
      <c r="B25" s="1038" t="s">
        <v>124</v>
      </c>
      <c r="C25" s="1038"/>
      <c r="D25" s="1038"/>
      <c r="E25" s="1038"/>
      <c r="F25" s="1038"/>
      <c r="G25" s="1038"/>
      <c r="H25" s="1038"/>
      <c r="I25" s="1038"/>
      <c r="J25" s="1038"/>
      <c r="K25" s="1038"/>
      <c r="L25" s="1038"/>
      <c r="M25" s="1038"/>
      <c r="N25" s="1038"/>
      <c r="O25" s="1038"/>
      <c r="P25" s="1038"/>
      <c r="Q25" s="1038"/>
      <c r="R25" s="1038"/>
      <c r="S25" s="1038"/>
      <c r="T25" s="1038"/>
      <c r="U25" s="1038"/>
      <c r="V25" s="1038"/>
      <c r="W25" s="1038"/>
      <c r="X25" s="1038"/>
      <c r="Y25" s="1038"/>
      <c r="Z25" s="1038"/>
      <c r="AA25" s="1038"/>
      <c r="AB25" s="1038"/>
      <c r="AC25" s="1038"/>
      <c r="AD25" s="1038"/>
      <c r="AE25" s="1038"/>
      <c r="AF25" s="1038"/>
      <c r="AG25" s="1038"/>
      <c r="AH25" s="1038"/>
      <c r="AI25" s="1038"/>
      <c r="AJ25" s="1038"/>
      <c r="AK25" s="1038"/>
      <c r="AL25" s="1038"/>
      <c r="AM25" s="1038"/>
      <c r="AN25" s="1038"/>
      <c r="AO25" s="1038"/>
      <c r="AP25" s="1038"/>
      <c r="AQ25" s="1038"/>
      <c r="AR25" s="1038"/>
      <c r="AS25" s="1038"/>
      <c r="AT25" s="1038"/>
      <c r="AU25" s="1038"/>
      <c r="AV25" s="1038"/>
      <c r="AW25" s="1038"/>
      <c r="AX25" s="1038"/>
      <c r="AY25" s="1038"/>
      <c r="AZ25" s="1039"/>
    </row>
    <row r="26" spans="1:52" s="256" customFormat="1" ht="45">
      <c r="A26" s="184" t="s">
        <v>121</v>
      </c>
      <c r="B26" s="151" t="s">
        <v>31</v>
      </c>
      <c r="C26" s="1037" t="s">
        <v>125</v>
      </c>
      <c r="D26" s="127">
        <v>10</v>
      </c>
      <c r="E26" s="127">
        <v>16</v>
      </c>
      <c r="F26" s="91">
        <v>50</v>
      </c>
      <c r="G26" s="91">
        <v>2.22</v>
      </c>
      <c r="H26" s="91"/>
      <c r="I26" s="91"/>
      <c r="J26" s="91"/>
      <c r="K26" s="91"/>
      <c r="L26" s="206">
        <v>5</v>
      </c>
      <c r="M26" s="206">
        <v>0</v>
      </c>
      <c r="N26" s="1060" t="s">
        <v>927</v>
      </c>
      <c r="O26" s="1061"/>
      <c r="P26" s="33"/>
      <c r="Q26" s="33"/>
      <c r="R26" s="68">
        <v>18</v>
      </c>
      <c r="S26" s="68">
        <v>0.71</v>
      </c>
      <c r="T26" s="145"/>
      <c r="U26" s="145"/>
      <c r="V26" s="145">
        <v>96</v>
      </c>
      <c r="W26" s="145">
        <v>4.07</v>
      </c>
      <c r="X26" s="145"/>
      <c r="Y26" s="145"/>
      <c r="Z26" s="145"/>
      <c r="AA26" s="145"/>
      <c r="AB26" s="145"/>
      <c r="AC26" s="145"/>
      <c r="AD26" s="145"/>
      <c r="AE26" s="145"/>
      <c r="AF26" s="145">
        <v>88</v>
      </c>
      <c r="AG26" s="145">
        <v>114</v>
      </c>
      <c r="AH26" s="33">
        <v>20</v>
      </c>
      <c r="AI26" s="30">
        <v>1</v>
      </c>
      <c r="AJ26" s="145"/>
      <c r="AK26" s="145"/>
      <c r="AL26" s="145">
        <v>80</v>
      </c>
      <c r="AM26" s="145">
        <v>11</v>
      </c>
      <c r="AN26" s="115">
        <v>450</v>
      </c>
      <c r="AO26" s="115">
        <v>423</v>
      </c>
      <c r="AP26" s="115">
        <v>35</v>
      </c>
      <c r="AQ26" s="115">
        <v>10.64</v>
      </c>
      <c r="AR26" s="115"/>
      <c r="AS26" s="115"/>
      <c r="AT26" s="115"/>
      <c r="AU26" s="115"/>
      <c r="AV26" s="145" t="s">
        <v>23</v>
      </c>
      <c r="AW26" s="145">
        <v>20</v>
      </c>
      <c r="AX26" s="145" t="s">
        <v>147</v>
      </c>
      <c r="AY26" s="145" t="s">
        <v>306</v>
      </c>
      <c r="AZ26" s="261" t="s">
        <v>277</v>
      </c>
    </row>
    <row r="27" spans="1:52" s="254" customFormat="1" ht="15.75">
      <c r="A27" s="184" t="s">
        <v>767</v>
      </c>
      <c r="B27" s="151" t="s">
        <v>126</v>
      </c>
      <c r="C27" s="1037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>
        <v>0</v>
      </c>
      <c r="AG27" s="33">
        <v>30</v>
      </c>
      <c r="AH27" s="145"/>
      <c r="AI27" s="145"/>
      <c r="AJ27" s="145">
        <v>15</v>
      </c>
      <c r="AK27" s="145">
        <v>13</v>
      </c>
      <c r="AL27" s="145">
        <v>4</v>
      </c>
      <c r="AM27" s="145">
        <v>0.9</v>
      </c>
      <c r="AN27" s="145">
        <v>15</v>
      </c>
      <c r="AO27" s="145">
        <v>11</v>
      </c>
      <c r="AP27" s="145">
        <v>30</v>
      </c>
      <c r="AQ27" s="30">
        <v>1.32</v>
      </c>
      <c r="AR27" s="30"/>
      <c r="AS27" s="30"/>
      <c r="AT27" s="30"/>
      <c r="AU27" s="30"/>
      <c r="AV27" s="145" t="s">
        <v>333</v>
      </c>
      <c r="AW27" s="145">
        <v>15</v>
      </c>
      <c r="AX27" s="145" t="s">
        <v>64</v>
      </c>
      <c r="AY27" s="145"/>
      <c r="AZ27" s="116" t="s">
        <v>106</v>
      </c>
    </row>
    <row r="28" spans="1:52" s="254" customFormat="1" ht="30">
      <c r="A28" s="184"/>
      <c r="B28" s="151" t="s">
        <v>127</v>
      </c>
      <c r="C28" s="1037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145">
        <v>314</v>
      </c>
      <c r="AG28" s="145">
        <v>0</v>
      </c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>
        <v>14</v>
      </c>
      <c r="AW28" s="145"/>
      <c r="AX28" s="145" t="s">
        <v>91</v>
      </c>
      <c r="AY28" s="145"/>
      <c r="AZ28" s="258"/>
    </row>
    <row r="29" spans="1:52" s="260" customFormat="1" ht="15.75">
      <c r="A29" s="26"/>
      <c r="B29" s="1027" t="s">
        <v>30</v>
      </c>
      <c r="C29" s="1027"/>
      <c r="D29" s="153">
        <f>SUM(D26:D28)</f>
        <v>10</v>
      </c>
      <c r="E29" s="153">
        <f aca="true" t="shared" si="1" ref="E29:AU29">SUM(E26:E28)</f>
        <v>16</v>
      </c>
      <c r="F29" s="153">
        <f t="shared" si="1"/>
        <v>50</v>
      </c>
      <c r="G29" s="153">
        <f t="shared" si="1"/>
        <v>2.22</v>
      </c>
      <c r="H29" s="153">
        <f t="shared" si="1"/>
        <v>0</v>
      </c>
      <c r="I29" s="153">
        <f t="shared" si="1"/>
        <v>0</v>
      </c>
      <c r="J29" s="153">
        <f t="shared" si="1"/>
        <v>0</v>
      </c>
      <c r="K29" s="153">
        <f t="shared" si="1"/>
        <v>0</v>
      </c>
      <c r="L29" s="153">
        <f t="shared" si="1"/>
        <v>5</v>
      </c>
      <c r="M29" s="153">
        <f t="shared" si="1"/>
        <v>0</v>
      </c>
      <c r="N29" s="153">
        <f t="shared" si="1"/>
        <v>0</v>
      </c>
      <c r="O29" s="153">
        <f t="shared" si="1"/>
        <v>0</v>
      </c>
      <c r="P29" s="153">
        <f t="shared" si="1"/>
        <v>0</v>
      </c>
      <c r="Q29" s="153">
        <f t="shared" si="1"/>
        <v>0</v>
      </c>
      <c r="R29" s="153">
        <f t="shared" si="1"/>
        <v>18</v>
      </c>
      <c r="S29" s="153">
        <f t="shared" si="1"/>
        <v>0.71</v>
      </c>
      <c r="T29" s="153">
        <f t="shared" si="1"/>
        <v>0</v>
      </c>
      <c r="U29" s="153">
        <f t="shared" si="1"/>
        <v>0</v>
      </c>
      <c r="V29" s="153">
        <f t="shared" si="1"/>
        <v>96</v>
      </c>
      <c r="W29" s="153">
        <f t="shared" si="1"/>
        <v>4.07</v>
      </c>
      <c r="X29" s="153">
        <f t="shared" si="1"/>
        <v>0</v>
      </c>
      <c r="Y29" s="153">
        <f t="shared" si="1"/>
        <v>0</v>
      </c>
      <c r="Z29" s="153">
        <f t="shared" si="1"/>
        <v>0</v>
      </c>
      <c r="AA29" s="153">
        <f t="shared" si="1"/>
        <v>0</v>
      </c>
      <c r="AB29" s="153">
        <f t="shared" si="1"/>
        <v>0</v>
      </c>
      <c r="AC29" s="153">
        <f t="shared" si="1"/>
        <v>0</v>
      </c>
      <c r="AD29" s="153">
        <f t="shared" si="1"/>
        <v>0</v>
      </c>
      <c r="AE29" s="153">
        <f t="shared" si="1"/>
        <v>0</v>
      </c>
      <c r="AF29" s="153">
        <f t="shared" si="1"/>
        <v>402</v>
      </c>
      <c r="AG29" s="153">
        <f t="shared" si="1"/>
        <v>144</v>
      </c>
      <c r="AH29" s="153">
        <f t="shared" si="1"/>
        <v>20</v>
      </c>
      <c r="AI29" s="153">
        <f t="shared" si="1"/>
        <v>1</v>
      </c>
      <c r="AJ29" s="153">
        <f t="shared" si="1"/>
        <v>15</v>
      </c>
      <c r="AK29" s="153">
        <f t="shared" si="1"/>
        <v>13</v>
      </c>
      <c r="AL29" s="153">
        <f t="shared" si="1"/>
        <v>84</v>
      </c>
      <c r="AM29" s="153">
        <f t="shared" si="1"/>
        <v>11.9</v>
      </c>
      <c r="AN29" s="153">
        <f t="shared" si="1"/>
        <v>465</v>
      </c>
      <c r="AO29" s="153">
        <f t="shared" si="1"/>
        <v>434</v>
      </c>
      <c r="AP29" s="153">
        <f t="shared" si="1"/>
        <v>65</v>
      </c>
      <c r="AQ29" s="153">
        <f t="shared" si="1"/>
        <v>11.96</v>
      </c>
      <c r="AR29" s="153">
        <f t="shared" si="1"/>
        <v>0</v>
      </c>
      <c r="AS29" s="153">
        <f t="shared" si="1"/>
        <v>0</v>
      </c>
      <c r="AT29" s="153">
        <f t="shared" si="1"/>
        <v>0</v>
      </c>
      <c r="AU29" s="153">
        <f t="shared" si="1"/>
        <v>0</v>
      </c>
      <c r="AV29" s="242"/>
      <c r="AW29" s="242"/>
      <c r="AX29" s="242"/>
      <c r="AY29" s="242"/>
      <c r="AZ29" s="259"/>
    </row>
    <row r="30" spans="1:52" s="256" customFormat="1" ht="15.75">
      <c r="A30" s="186" t="s">
        <v>553</v>
      </c>
      <c r="B30" s="6" t="s">
        <v>38</v>
      </c>
      <c r="C30" s="5" t="s">
        <v>33</v>
      </c>
      <c r="D30" s="91">
        <v>216</v>
      </c>
      <c r="E30" s="91">
        <v>83</v>
      </c>
      <c r="F30" s="91">
        <v>254</v>
      </c>
      <c r="G30" s="91">
        <v>56.78</v>
      </c>
      <c r="H30" s="1040">
        <v>1406</v>
      </c>
      <c r="I30" s="1040">
        <v>1080</v>
      </c>
      <c r="J30" s="91">
        <v>900</v>
      </c>
      <c r="K30" s="91">
        <v>203.85</v>
      </c>
      <c r="L30" s="206">
        <v>80</v>
      </c>
      <c r="M30" s="206">
        <v>154</v>
      </c>
      <c r="N30" s="203">
        <v>80</v>
      </c>
      <c r="O30" s="206">
        <v>20.29</v>
      </c>
      <c r="P30" s="176">
        <v>75</v>
      </c>
      <c r="Q30" s="176">
        <v>46</v>
      </c>
      <c r="R30" s="176">
        <v>75</v>
      </c>
      <c r="S30" s="145">
        <v>12.75</v>
      </c>
      <c r="T30" s="145"/>
      <c r="U30" s="145"/>
      <c r="V30" s="145"/>
      <c r="W30" s="145"/>
      <c r="X30" s="145"/>
      <c r="Y30" s="145"/>
      <c r="Z30" s="145"/>
      <c r="AA30" s="145"/>
      <c r="AB30" s="145">
        <v>720</v>
      </c>
      <c r="AC30" s="145">
        <v>568</v>
      </c>
      <c r="AD30" s="33">
        <f>AG30*AH30</f>
        <v>0</v>
      </c>
      <c r="AE30" s="145">
        <v>145.25</v>
      </c>
      <c r="AF30" s="145"/>
      <c r="AG30" s="145"/>
      <c r="AH30" s="145"/>
      <c r="AI30" s="30"/>
      <c r="AJ30" s="30"/>
      <c r="AK30" s="30"/>
      <c r="AL30" s="30"/>
      <c r="AM30" s="30"/>
      <c r="AN30" s="167">
        <v>1300</v>
      </c>
      <c r="AO30" s="145" t="s">
        <v>610</v>
      </c>
      <c r="AP30" s="211">
        <v>800</v>
      </c>
      <c r="AQ30" s="212">
        <v>593.57</v>
      </c>
      <c r="AR30" s="212"/>
      <c r="AS30" s="212"/>
      <c r="AT30" s="212"/>
      <c r="AU30" s="212"/>
      <c r="AV30" s="145" t="s">
        <v>561</v>
      </c>
      <c r="AW30" s="145" t="s">
        <v>575</v>
      </c>
      <c r="AX30" s="145" t="s">
        <v>556</v>
      </c>
      <c r="AY30" s="145" t="s">
        <v>555</v>
      </c>
      <c r="AZ30" s="116" t="s">
        <v>554</v>
      </c>
    </row>
    <row r="31" spans="1:52" s="256" customFormat="1" ht="42.75" customHeight="1">
      <c r="A31" s="186" t="s">
        <v>307</v>
      </c>
      <c r="B31" s="151" t="s">
        <v>32</v>
      </c>
      <c r="C31" s="1028" t="s">
        <v>33</v>
      </c>
      <c r="D31" s="262"/>
      <c r="E31" s="262"/>
      <c r="F31" s="262"/>
      <c r="G31" s="262"/>
      <c r="H31" s="1041"/>
      <c r="I31" s="1041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145">
        <v>88</v>
      </c>
      <c r="U31" s="145">
        <v>63</v>
      </c>
      <c r="V31" s="145">
        <v>96</v>
      </c>
      <c r="W31" s="145">
        <v>21.41</v>
      </c>
      <c r="X31" s="145"/>
      <c r="Y31" s="145"/>
      <c r="Z31" s="145"/>
      <c r="AA31" s="145"/>
      <c r="AB31" s="145"/>
      <c r="AC31" s="145"/>
      <c r="AD31" s="145"/>
      <c r="AE31" s="145"/>
      <c r="AF31" s="5">
        <v>500</v>
      </c>
      <c r="AG31" s="5">
        <v>345</v>
      </c>
      <c r="AH31" s="145">
        <v>372</v>
      </c>
      <c r="AI31" s="30">
        <v>55.8</v>
      </c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145" t="s">
        <v>279</v>
      </c>
      <c r="AW31" s="145" t="s">
        <v>968</v>
      </c>
      <c r="AX31" s="145" t="s">
        <v>280</v>
      </c>
      <c r="AY31" s="145" t="s">
        <v>306</v>
      </c>
      <c r="AZ31" s="116" t="s">
        <v>281</v>
      </c>
    </row>
    <row r="32" spans="1:52" s="254" customFormat="1" ht="30">
      <c r="A32" s="186" t="s">
        <v>308</v>
      </c>
      <c r="B32" s="151" t="s">
        <v>40</v>
      </c>
      <c r="C32" s="1030"/>
      <c r="D32" s="193"/>
      <c r="E32" s="193"/>
      <c r="F32" s="193"/>
      <c r="G32" s="193"/>
      <c r="H32" s="1041"/>
      <c r="I32" s="1041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45">
        <v>600</v>
      </c>
      <c r="AG32" s="145">
        <v>489</v>
      </c>
      <c r="AH32" s="145">
        <v>952</v>
      </c>
      <c r="AI32" s="30">
        <v>30.81</v>
      </c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145" t="s">
        <v>12</v>
      </c>
      <c r="AW32" s="145" t="s">
        <v>49</v>
      </c>
      <c r="AX32" s="145" t="s">
        <v>280</v>
      </c>
      <c r="AY32" s="145" t="s">
        <v>306</v>
      </c>
      <c r="AZ32" s="116" t="s">
        <v>281</v>
      </c>
    </row>
    <row r="33" spans="1:52" s="256" customFormat="1" ht="15.75">
      <c r="A33" s="186" t="s">
        <v>560</v>
      </c>
      <c r="B33" s="151" t="s">
        <v>32</v>
      </c>
      <c r="C33" s="108" t="s">
        <v>559</v>
      </c>
      <c r="D33" s="91">
        <v>0</v>
      </c>
      <c r="E33" s="91">
        <v>145</v>
      </c>
      <c r="F33" s="91">
        <v>384</v>
      </c>
      <c r="G33" s="91">
        <v>132.13</v>
      </c>
      <c r="H33" s="1041"/>
      <c r="I33" s="1041"/>
      <c r="J33" s="91">
        <v>150</v>
      </c>
      <c r="K33" s="91">
        <v>33.98</v>
      </c>
      <c r="L33" s="204">
        <v>340</v>
      </c>
      <c r="M33" s="209">
        <v>644</v>
      </c>
      <c r="N33" s="204">
        <v>340</v>
      </c>
      <c r="O33" s="206">
        <v>86.22</v>
      </c>
      <c r="P33" s="145">
        <v>75</v>
      </c>
      <c r="Q33" s="145">
        <v>15</v>
      </c>
      <c r="R33" s="145">
        <v>75</v>
      </c>
      <c r="S33" s="145">
        <v>12.75</v>
      </c>
      <c r="T33" s="145">
        <v>88</v>
      </c>
      <c r="U33" s="145">
        <v>84</v>
      </c>
      <c r="V33" s="145">
        <v>96</v>
      </c>
      <c r="W33" s="145">
        <v>21.41</v>
      </c>
      <c r="X33" s="195">
        <v>803</v>
      </c>
      <c r="Y33" s="195">
        <v>345</v>
      </c>
      <c r="Z33" s="112">
        <v>251</v>
      </c>
      <c r="AA33" s="195">
        <v>53.04</v>
      </c>
      <c r="AB33" s="145">
        <v>960</v>
      </c>
      <c r="AC33" s="145">
        <v>772</v>
      </c>
      <c r="AD33" s="145">
        <f>AG33*AH33</f>
        <v>0</v>
      </c>
      <c r="AE33" s="30">
        <v>145.25</v>
      </c>
      <c r="AF33" s="145"/>
      <c r="AG33" s="145"/>
      <c r="AH33" s="145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145" t="s">
        <v>561</v>
      </c>
      <c r="AW33" s="145">
        <v>25</v>
      </c>
      <c r="AX33" s="145" t="s">
        <v>556</v>
      </c>
      <c r="AY33" s="145" t="s">
        <v>555</v>
      </c>
      <c r="AZ33" s="116" t="s">
        <v>554</v>
      </c>
    </row>
    <row r="34" spans="1:52" s="254" customFormat="1" ht="42.75" customHeight="1">
      <c r="A34" s="186" t="s">
        <v>336</v>
      </c>
      <c r="B34" s="151" t="s">
        <v>32</v>
      </c>
      <c r="C34" s="1028" t="s">
        <v>39</v>
      </c>
      <c r="D34" s="262"/>
      <c r="E34" s="262"/>
      <c r="F34" s="262"/>
      <c r="G34" s="262"/>
      <c r="H34" s="1041"/>
      <c r="I34" s="1041"/>
      <c r="J34" s="262"/>
      <c r="K34" s="262"/>
      <c r="L34" s="262"/>
      <c r="M34" s="262"/>
      <c r="N34" s="262"/>
      <c r="O34" s="262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>
        <v>500</v>
      </c>
      <c r="AG34" s="5">
        <v>345</v>
      </c>
      <c r="AH34" s="145">
        <v>500</v>
      </c>
      <c r="AI34" s="30">
        <v>75</v>
      </c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145" t="s">
        <v>279</v>
      </c>
      <c r="AW34" s="145" t="s">
        <v>968</v>
      </c>
      <c r="AX34" s="145" t="s">
        <v>280</v>
      </c>
      <c r="AY34" s="145" t="s">
        <v>306</v>
      </c>
      <c r="AZ34" s="116" t="s">
        <v>281</v>
      </c>
    </row>
    <row r="35" spans="1:52" s="254" customFormat="1" ht="30">
      <c r="A35" s="186" t="s">
        <v>337</v>
      </c>
      <c r="B35" s="151" t="s">
        <v>40</v>
      </c>
      <c r="C35" s="1030"/>
      <c r="D35" s="193"/>
      <c r="E35" s="193"/>
      <c r="F35" s="193"/>
      <c r="G35" s="193"/>
      <c r="H35" s="1042"/>
      <c r="I35" s="1042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45">
        <v>600</v>
      </c>
      <c r="AG35" s="145">
        <v>489</v>
      </c>
      <c r="AH35" s="145">
        <v>1400</v>
      </c>
      <c r="AI35" s="30">
        <v>45.3</v>
      </c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145" t="s">
        <v>12</v>
      </c>
      <c r="AW35" s="145" t="s">
        <v>49</v>
      </c>
      <c r="AX35" s="145" t="s">
        <v>280</v>
      </c>
      <c r="AY35" s="145" t="s">
        <v>306</v>
      </c>
      <c r="AZ35" s="116" t="s">
        <v>281</v>
      </c>
    </row>
    <row r="36" spans="1:52" s="254" customFormat="1" ht="15.75">
      <c r="A36" s="182" t="s">
        <v>132</v>
      </c>
      <c r="B36" s="151" t="s">
        <v>29</v>
      </c>
      <c r="C36" s="145" t="s">
        <v>36</v>
      </c>
      <c r="D36" s="68">
        <v>540</v>
      </c>
      <c r="E36" s="68">
        <v>183</v>
      </c>
      <c r="F36" s="68">
        <v>270</v>
      </c>
      <c r="G36" s="68">
        <v>5.93</v>
      </c>
      <c r="H36" s="91">
        <f>30*38</f>
        <v>1140</v>
      </c>
      <c r="I36" s="137">
        <v>0</v>
      </c>
      <c r="J36" s="91">
        <f>30*38</f>
        <v>1140</v>
      </c>
      <c r="K36" s="129">
        <v>6</v>
      </c>
      <c r="L36" s="206">
        <v>15</v>
      </c>
      <c r="M36" s="206">
        <v>0</v>
      </c>
      <c r="N36" s="203">
        <v>120</v>
      </c>
      <c r="O36" s="206">
        <v>2.4</v>
      </c>
      <c r="P36" s="2">
        <v>300</v>
      </c>
      <c r="Q36" s="68">
        <v>0</v>
      </c>
      <c r="R36" s="2">
        <v>450</v>
      </c>
      <c r="S36" s="2">
        <v>11.2</v>
      </c>
      <c r="T36" s="2"/>
      <c r="U36" s="2"/>
      <c r="V36" s="2"/>
      <c r="W36" s="2"/>
      <c r="X36" s="2"/>
      <c r="Y36" s="2"/>
      <c r="Z36" s="2"/>
      <c r="AA36" s="2"/>
      <c r="AB36" s="112">
        <v>150</v>
      </c>
      <c r="AC36" s="112">
        <v>0</v>
      </c>
      <c r="AD36" s="145">
        <f>AG36*AH36</f>
        <v>6200</v>
      </c>
      <c r="AE36" s="145">
        <v>1.98</v>
      </c>
      <c r="AF36" s="145">
        <v>160</v>
      </c>
      <c r="AG36" s="145">
        <v>62</v>
      </c>
      <c r="AH36" s="145">
        <v>100</v>
      </c>
      <c r="AI36" s="145">
        <v>4.6</v>
      </c>
      <c r="AJ36" s="145"/>
      <c r="AK36" s="145"/>
      <c r="AL36" s="145"/>
      <c r="AM36" s="145"/>
      <c r="AN36" s="145">
        <v>5</v>
      </c>
      <c r="AO36" s="145">
        <v>5</v>
      </c>
      <c r="AP36" s="145">
        <v>600</v>
      </c>
      <c r="AQ36" s="145">
        <v>43.86</v>
      </c>
      <c r="AR36" s="145"/>
      <c r="AS36" s="145"/>
      <c r="AT36" s="145"/>
      <c r="AU36" s="145"/>
      <c r="AV36" s="145" t="s">
        <v>23</v>
      </c>
      <c r="AW36" s="145" t="s">
        <v>861</v>
      </c>
      <c r="AX36" s="145" t="s">
        <v>150</v>
      </c>
      <c r="AY36" s="145" t="s">
        <v>306</v>
      </c>
      <c r="AZ36" s="116" t="s">
        <v>275</v>
      </c>
    </row>
    <row r="37" spans="1:52" s="254" customFormat="1" ht="30">
      <c r="A37" s="182" t="s">
        <v>687</v>
      </c>
      <c r="B37" s="151" t="s">
        <v>29</v>
      </c>
      <c r="C37" s="145" t="s">
        <v>688</v>
      </c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>
        <v>0</v>
      </c>
      <c r="AC37" s="145">
        <v>69</v>
      </c>
      <c r="AD37" s="145">
        <v>0</v>
      </c>
      <c r="AE37" s="145">
        <v>0</v>
      </c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16"/>
    </row>
    <row r="38" spans="1:52" s="260" customFormat="1" ht="15.75">
      <c r="A38" s="26"/>
      <c r="B38" s="1027" t="s">
        <v>30</v>
      </c>
      <c r="C38" s="1027"/>
      <c r="D38" s="153">
        <f>SUM(D30:D37)</f>
        <v>756</v>
      </c>
      <c r="E38" s="153">
        <f aca="true" t="shared" si="2" ref="E38:AU38">SUM(E30:E37)</f>
        <v>411</v>
      </c>
      <c r="F38" s="153">
        <f t="shared" si="2"/>
        <v>908</v>
      </c>
      <c r="G38" s="153">
        <f t="shared" si="2"/>
        <v>194.84</v>
      </c>
      <c r="H38" s="153">
        <f t="shared" si="2"/>
        <v>2546</v>
      </c>
      <c r="I38" s="153">
        <f t="shared" si="2"/>
        <v>1080</v>
      </c>
      <c r="J38" s="153">
        <f t="shared" si="2"/>
        <v>2190</v>
      </c>
      <c r="K38" s="153">
        <f t="shared" si="2"/>
        <v>243.82999999999998</v>
      </c>
      <c r="L38" s="153">
        <f t="shared" si="2"/>
        <v>435</v>
      </c>
      <c r="M38" s="153">
        <f t="shared" si="2"/>
        <v>798</v>
      </c>
      <c r="N38" s="153">
        <f t="shared" si="2"/>
        <v>540</v>
      </c>
      <c r="O38" s="153">
        <f t="shared" si="2"/>
        <v>108.91</v>
      </c>
      <c r="P38" s="153">
        <f t="shared" si="2"/>
        <v>450</v>
      </c>
      <c r="Q38" s="153">
        <f t="shared" si="2"/>
        <v>61</v>
      </c>
      <c r="R38" s="153">
        <f t="shared" si="2"/>
        <v>600</v>
      </c>
      <c r="S38" s="153">
        <f t="shared" si="2"/>
        <v>36.7</v>
      </c>
      <c r="T38" s="153">
        <f t="shared" si="2"/>
        <v>176</v>
      </c>
      <c r="U38" s="153">
        <f t="shared" si="2"/>
        <v>147</v>
      </c>
      <c r="V38" s="153">
        <f t="shared" si="2"/>
        <v>192</v>
      </c>
      <c r="W38" s="153">
        <f t="shared" si="2"/>
        <v>42.82</v>
      </c>
      <c r="X38" s="153">
        <f t="shared" si="2"/>
        <v>803</v>
      </c>
      <c r="Y38" s="153">
        <f t="shared" si="2"/>
        <v>345</v>
      </c>
      <c r="Z38" s="153">
        <f t="shared" si="2"/>
        <v>251</v>
      </c>
      <c r="AA38" s="153">
        <f t="shared" si="2"/>
        <v>53.04</v>
      </c>
      <c r="AB38" s="153">
        <f t="shared" si="2"/>
        <v>1830</v>
      </c>
      <c r="AC38" s="153">
        <f t="shared" si="2"/>
        <v>1409</v>
      </c>
      <c r="AD38" s="153">
        <f t="shared" si="2"/>
        <v>6200</v>
      </c>
      <c r="AE38" s="153">
        <f t="shared" si="2"/>
        <v>292.48</v>
      </c>
      <c r="AF38" s="153">
        <f t="shared" si="2"/>
        <v>2360</v>
      </c>
      <c r="AG38" s="153">
        <f t="shared" si="2"/>
        <v>1730</v>
      </c>
      <c r="AH38" s="153">
        <f t="shared" si="2"/>
        <v>3324</v>
      </c>
      <c r="AI38" s="153">
        <f t="shared" si="2"/>
        <v>211.51000000000002</v>
      </c>
      <c r="AJ38" s="153">
        <f t="shared" si="2"/>
        <v>0</v>
      </c>
      <c r="AK38" s="153">
        <f t="shared" si="2"/>
        <v>0</v>
      </c>
      <c r="AL38" s="153">
        <f t="shared" si="2"/>
        <v>0</v>
      </c>
      <c r="AM38" s="153">
        <f t="shared" si="2"/>
        <v>0</v>
      </c>
      <c r="AN38" s="153">
        <f t="shared" si="2"/>
        <v>1305</v>
      </c>
      <c r="AO38" s="153">
        <f t="shared" si="2"/>
        <v>5</v>
      </c>
      <c r="AP38" s="153">
        <f t="shared" si="2"/>
        <v>1400</v>
      </c>
      <c r="AQ38" s="153">
        <f t="shared" si="2"/>
        <v>637.4300000000001</v>
      </c>
      <c r="AR38" s="153">
        <f t="shared" si="2"/>
        <v>0</v>
      </c>
      <c r="AS38" s="153">
        <f t="shared" si="2"/>
        <v>0</v>
      </c>
      <c r="AT38" s="153">
        <f t="shared" si="2"/>
        <v>0</v>
      </c>
      <c r="AU38" s="153">
        <f t="shared" si="2"/>
        <v>0</v>
      </c>
      <c r="AV38" s="242"/>
      <c r="AW38" s="242"/>
      <c r="AX38" s="242"/>
      <c r="AY38" s="242"/>
      <c r="AZ38" s="259"/>
    </row>
    <row r="39" spans="1:52" s="254" customFormat="1" ht="15.75">
      <c r="A39" s="185" t="s">
        <v>118</v>
      </c>
      <c r="B39" s="1038" t="s">
        <v>117</v>
      </c>
      <c r="C39" s="1038"/>
      <c r="D39" s="1038"/>
      <c r="E39" s="1038"/>
      <c r="F39" s="1038"/>
      <c r="G39" s="1038"/>
      <c r="H39" s="1038"/>
      <c r="I39" s="1038"/>
      <c r="J39" s="1038"/>
      <c r="K39" s="1038"/>
      <c r="L39" s="1038"/>
      <c r="M39" s="1038"/>
      <c r="N39" s="1038"/>
      <c r="O39" s="1038"/>
      <c r="P39" s="1038"/>
      <c r="Q39" s="1038"/>
      <c r="R39" s="1038"/>
      <c r="S39" s="1038"/>
      <c r="T39" s="1038"/>
      <c r="U39" s="1038"/>
      <c r="V39" s="1038"/>
      <c r="W39" s="1038"/>
      <c r="X39" s="1038"/>
      <c r="Y39" s="1038"/>
      <c r="Z39" s="1038"/>
      <c r="AA39" s="1038"/>
      <c r="AB39" s="1038"/>
      <c r="AC39" s="1038"/>
      <c r="AD39" s="1038"/>
      <c r="AE39" s="1038"/>
      <c r="AF39" s="1038"/>
      <c r="AG39" s="1038"/>
      <c r="AH39" s="1038"/>
      <c r="AI39" s="1038"/>
      <c r="AJ39" s="1038"/>
      <c r="AK39" s="1038"/>
      <c r="AL39" s="1038"/>
      <c r="AM39" s="1038"/>
      <c r="AN39" s="1038"/>
      <c r="AO39" s="1038"/>
      <c r="AP39" s="1038"/>
      <c r="AQ39" s="1038"/>
      <c r="AR39" s="1038"/>
      <c r="AS39" s="1038"/>
      <c r="AT39" s="1038"/>
      <c r="AU39" s="1038"/>
      <c r="AV39" s="1038"/>
      <c r="AW39" s="1038"/>
      <c r="AX39" s="1038"/>
      <c r="AY39" s="1038"/>
      <c r="AZ39" s="1039"/>
    </row>
    <row r="40" spans="1:52" s="254" customFormat="1" ht="31.5">
      <c r="A40" s="184" t="s">
        <v>120</v>
      </c>
      <c r="B40" s="151" t="s">
        <v>119</v>
      </c>
      <c r="C40" s="33" t="s">
        <v>309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>
        <v>288</v>
      </c>
      <c r="AI40" s="33">
        <v>23.83</v>
      </c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 t="s">
        <v>81</v>
      </c>
      <c r="AW40" s="145" t="s">
        <v>861</v>
      </c>
      <c r="AX40" s="145" t="s">
        <v>973</v>
      </c>
      <c r="AY40" s="145" t="s">
        <v>306</v>
      </c>
      <c r="AZ40" s="116" t="s">
        <v>310</v>
      </c>
    </row>
    <row r="41" spans="1:52" s="254" customFormat="1" ht="30">
      <c r="A41" s="184" t="s">
        <v>615</v>
      </c>
      <c r="B41" s="151" t="s">
        <v>695</v>
      </c>
      <c r="C41" s="33" t="s">
        <v>696</v>
      </c>
      <c r="D41" s="33"/>
      <c r="E41" s="33"/>
      <c r="F41" s="33"/>
      <c r="G41" s="33"/>
      <c r="H41" s="33"/>
      <c r="I41" s="33"/>
      <c r="J41" s="33"/>
      <c r="K41" s="33"/>
      <c r="L41" s="213">
        <v>27</v>
      </c>
      <c r="M41" s="206">
        <v>0</v>
      </c>
      <c r="N41" s="213">
        <v>27</v>
      </c>
      <c r="O41" s="213">
        <v>35.64</v>
      </c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>
        <v>560</v>
      </c>
      <c r="AC41" s="33">
        <v>560</v>
      </c>
      <c r="AD41" s="33">
        <v>1600</v>
      </c>
      <c r="AE41" s="33">
        <v>132.4</v>
      </c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 t="s">
        <v>81</v>
      </c>
      <c r="AW41" s="145" t="s">
        <v>861</v>
      </c>
      <c r="AX41" s="145" t="s">
        <v>697</v>
      </c>
      <c r="AY41" s="145" t="s">
        <v>306</v>
      </c>
      <c r="AZ41" s="116" t="s">
        <v>306</v>
      </c>
    </row>
    <row r="42" spans="1:52" s="260" customFormat="1" ht="15.75">
      <c r="A42" s="26"/>
      <c r="B42" s="1027" t="s">
        <v>30</v>
      </c>
      <c r="C42" s="1027"/>
      <c r="D42" s="153">
        <f>SUM(D40:D41)</f>
        <v>0</v>
      </c>
      <c r="E42" s="153">
        <f aca="true" t="shared" si="3" ref="E42:AU42">SUM(E40:E41)</f>
        <v>0</v>
      </c>
      <c r="F42" s="153">
        <f t="shared" si="3"/>
        <v>0</v>
      </c>
      <c r="G42" s="153">
        <f t="shared" si="3"/>
        <v>0</v>
      </c>
      <c r="H42" s="153">
        <f t="shared" si="3"/>
        <v>0</v>
      </c>
      <c r="I42" s="153">
        <f t="shared" si="3"/>
        <v>0</v>
      </c>
      <c r="J42" s="153">
        <f t="shared" si="3"/>
        <v>0</v>
      </c>
      <c r="K42" s="153">
        <f t="shared" si="3"/>
        <v>0</v>
      </c>
      <c r="L42" s="153">
        <f t="shared" si="3"/>
        <v>27</v>
      </c>
      <c r="M42" s="153">
        <f t="shared" si="3"/>
        <v>0</v>
      </c>
      <c r="N42" s="153">
        <f t="shared" si="3"/>
        <v>27</v>
      </c>
      <c r="O42" s="153">
        <f t="shared" si="3"/>
        <v>35.64</v>
      </c>
      <c r="P42" s="153">
        <f t="shared" si="3"/>
        <v>0</v>
      </c>
      <c r="Q42" s="153">
        <f t="shared" si="3"/>
        <v>0</v>
      </c>
      <c r="R42" s="153">
        <f t="shared" si="3"/>
        <v>0</v>
      </c>
      <c r="S42" s="153">
        <f t="shared" si="3"/>
        <v>0</v>
      </c>
      <c r="T42" s="153">
        <f t="shared" si="3"/>
        <v>0</v>
      </c>
      <c r="U42" s="153">
        <f t="shared" si="3"/>
        <v>0</v>
      </c>
      <c r="V42" s="153">
        <f t="shared" si="3"/>
        <v>0</v>
      </c>
      <c r="W42" s="153">
        <f t="shared" si="3"/>
        <v>0</v>
      </c>
      <c r="X42" s="153">
        <f t="shared" si="3"/>
        <v>0</v>
      </c>
      <c r="Y42" s="153">
        <f t="shared" si="3"/>
        <v>0</v>
      </c>
      <c r="Z42" s="153">
        <f t="shared" si="3"/>
        <v>0</v>
      </c>
      <c r="AA42" s="153">
        <f t="shared" si="3"/>
        <v>0</v>
      </c>
      <c r="AB42" s="153">
        <f t="shared" si="3"/>
        <v>560</v>
      </c>
      <c r="AC42" s="153">
        <f t="shared" si="3"/>
        <v>560</v>
      </c>
      <c r="AD42" s="153">
        <f t="shared" si="3"/>
        <v>1600</v>
      </c>
      <c r="AE42" s="153">
        <f t="shared" si="3"/>
        <v>132.4</v>
      </c>
      <c r="AF42" s="153">
        <f t="shared" si="3"/>
        <v>0</v>
      </c>
      <c r="AG42" s="153">
        <f t="shared" si="3"/>
        <v>0</v>
      </c>
      <c r="AH42" s="153">
        <f t="shared" si="3"/>
        <v>288</v>
      </c>
      <c r="AI42" s="153">
        <f t="shared" si="3"/>
        <v>23.83</v>
      </c>
      <c r="AJ42" s="153">
        <f t="shared" si="3"/>
        <v>0</v>
      </c>
      <c r="AK42" s="153">
        <f t="shared" si="3"/>
        <v>0</v>
      </c>
      <c r="AL42" s="153">
        <f t="shared" si="3"/>
        <v>0</v>
      </c>
      <c r="AM42" s="153">
        <f t="shared" si="3"/>
        <v>0</v>
      </c>
      <c r="AN42" s="153">
        <f t="shared" si="3"/>
        <v>0</v>
      </c>
      <c r="AO42" s="153">
        <f t="shared" si="3"/>
        <v>0</v>
      </c>
      <c r="AP42" s="153">
        <f t="shared" si="3"/>
        <v>0</v>
      </c>
      <c r="AQ42" s="153">
        <f t="shared" si="3"/>
        <v>0</v>
      </c>
      <c r="AR42" s="153">
        <f t="shared" si="3"/>
        <v>0</v>
      </c>
      <c r="AS42" s="153">
        <f t="shared" si="3"/>
        <v>0</v>
      </c>
      <c r="AT42" s="153">
        <f t="shared" si="3"/>
        <v>0</v>
      </c>
      <c r="AU42" s="153">
        <f t="shared" si="3"/>
        <v>0</v>
      </c>
      <c r="AV42" s="242"/>
      <c r="AW42" s="242"/>
      <c r="AX42" s="242"/>
      <c r="AY42" s="242"/>
      <c r="AZ42" s="259"/>
    </row>
    <row r="43" spans="1:52" s="254" customFormat="1" ht="15.75">
      <c r="A43" s="185" t="s">
        <v>134</v>
      </c>
      <c r="B43" s="1038" t="s">
        <v>135</v>
      </c>
      <c r="C43" s="1038"/>
      <c r="D43" s="1038"/>
      <c r="E43" s="1038"/>
      <c r="F43" s="1038"/>
      <c r="G43" s="1038"/>
      <c r="H43" s="1038"/>
      <c r="I43" s="1038"/>
      <c r="J43" s="1038"/>
      <c r="K43" s="1038"/>
      <c r="L43" s="1038"/>
      <c r="M43" s="1038"/>
      <c r="N43" s="1038"/>
      <c r="O43" s="1038"/>
      <c r="P43" s="1038"/>
      <c r="Q43" s="1038"/>
      <c r="R43" s="1038"/>
      <c r="S43" s="1038"/>
      <c r="T43" s="1038"/>
      <c r="U43" s="1038"/>
      <c r="V43" s="1038"/>
      <c r="W43" s="1038"/>
      <c r="X43" s="1038"/>
      <c r="Y43" s="1038"/>
      <c r="Z43" s="1038"/>
      <c r="AA43" s="1038"/>
      <c r="AB43" s="1038"/>
      <c r="AC43" s="1038"/>
      <c r="AD43" s="1038"/>
      <c r="AE43" s="1038"/>
      <c r="AF43" s="1038"/>
      <c r="AG43" s="1038"/>
      <c r="AH43" s="1038"/>
      <c r="AI43" s="1038"/>
      <c r="AJ43" s="1038"/>
      <c r="AK43" s="1038"/>
      <c r="AL43" s="1038"/>
      <c r="AM43" s="1038"/>
      <c r="AN43" s="1038"/>
      <c r="AO43" s="1038"/>
      <c r="AP43" s="1038"/>
      <c r="AQ43" s="1038"/>
      <c r="AR43" s="1038"/>
      <c r="AS43" s="1038"/>
      <c r="AT43" s="1038"/>
      <c r="AU43" s="1038"/>
      <c r="AV43" s="1038"/>
      <c r="AW43" s="1038"/>
      <c r="AX43" s="1038"/>
      <c r="AY43" s="1038"/>
      <c r="AZ43" s="1039"/>
    </row>
    <row r="44" spans="1:52" s="256" customFormat="1" ht="60">
      <c r="A44" s="186" t="s">
        <v>557</v>
      </c>
      <c r="B44" s="151" t="s">
        <v>32</v>
      </c>
      <c r="C44" s="5" t="s">
        <v>681</v>
      </c>
      <c r="D44" s="2">
        <v>100</v>
      </c>
      <c r="E44" s="2">
        <v>0</v>
      </c>
      <c r="F44" s="91">
        <v>50</v>
      </c>
      <c r="G44" s="91">
        <v>11.22</v>
      </c>
      <c r="H44" s="2" t="s">
        <v>610</v>
      </c>
      <c r="I44" s="2" t="s">
        <v>610</v>
      </c>
      <c r="J44" s="91">
        <v>360</v>
      </c>
      <c r="K44" s="91">
        <v>74.11</v>
      </c>
      <c r="L44" s="91"/>
      <c r="M44" s="91"/>
      <c r="N44" s="91"/>
      <c r="O44" s="91"/>
      <c r="P44" s="68"/>
      <c r="Q44" s="68"/>
      <c r="R44" s="68"/>
      <c r="S44" s="68"/>
      <c r="T44" s="263"/>
      <c r="U44" s="263"/>
      <c r="V44" s="68"/>
      <c r="W44" s="68"/>
      <c r="X44" s="68"/>
      <c r="Y44" s="68"/>
      <c r="Z44" s="68"/>
      <c r="AA44" s="68"/>
      <c r="AB44" s="112">
        <v>100</v>
      </c>
      <c r="AC44" s="112">
        <v>68</v>
      </c>
      <c r="AD44" s="145">
        <v>100</v>
      </c>
      <c r="AE44" s="145">
        <v>28.38</v>
      </c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145" t="s">
        <v>279</v>
      </c>
      <c r="AW44" s="2">
        <v>4</v>
      </c>
      <c r="AX44" s="145" t="s">
        <v>684</v>
      </c>
      <c r="AY44" s="55" t="s">
        <v>555</v>
      </c>
      <c r="AZ44" s="116" t="s">
        <v>558</v>
      </c>
    </row>
    <row r="45" spans="1:52" s="256" customFormat="1" ht="15.75">
      <c r="A45" s="202" t="s">
        <v>557</v>
      </c>
      <c r="B45" s="171" t="s">
        <v>917</v>
      </c>
      <c r="C45" s="195" t="s">
        <v>22</v>
      </c>
      <c r="D45" s="2"/>
      <c r="E45" s="2"/>
      <c r="F45" s="91"/>
      <c r="G45" s="91"/>
      <c r="H45" s="2"/>
      <c r="I45" s="2"/>
      <c r="J45" s="91"/>
      <c r="K45" s="91"/>
      <c r="L45" s="91"/>
      <c r="M45" s="91"/>
      <c r="N45" s="91"/>
      <c r="O45" s="91"/>
      <c r="P45" s="68"/>
      <c r="Q45" s="68"/>
      <c r="R45" s="68"/>
      <c r="S45" s="68"/>
      <c r="T45" s="263"/>
      <c r="U45" s="263"/>
      <c r="V45" s="68"/>
      <c r="W45" s="68"/>
      <c r="X45" s="195">
        <v>24</v>
      </c>
      <c r="Y45" s="195">
        <v>11</v>
      </c>
      <c r="Z45" s="195">
        <v>24</v>
      </c>
      <c r="AA45" s="195">
        <v>2.48</v>
      </c>
      <c r="AB45" s="112"/>
      <c r="AC45" s="112"/>
      <c r="AD45" s="145"/>
      <c r="AE45" s="145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195" t="s">
        <v>71</v>
      </c>
      <c r="AW45" s="195">
        <v>4</v>
      </c>
      <c r="AX45" s="264" t="s">
        <v>974</v>
      </c>
      <c r="AY45" s="264" t="s">
        <v>918</v>
      </c>
      <c r="AZ45" s="265"/>
    </row>
    <row r="46" spans="1:52" s="256" customFormat="1" ht="15.75">
      <c r="A46" s="186" t="s">
        <v>557</v>
      </c>
      <c r="B46" s="151" t="s">
        <v>634</v>
      </c>
      <c r="C46" s="5" t="s">
        <v>22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68">
        <v>0</v>
      </c>
      <c r="Q46" s="68">
        <v>31</v>
      </c>
      <c r="R46" s="68">
        <v>500</v>
      </c>
      <c r="S46" s="68">
        <v>17.5</v>
      </c>
      <c r="T46" s="263"/>
      <c r="U46" s="263"/>
      <c r="V46" s="68"/>
      <c r="W46" s="68"/>
      <c r="X46" s="68"/>
      <c r="Y46" s="68"/>
      <c r="Z46" s="68"/>
      <c r="AA46" s="68"/>
      <c r="AB46" s="68"/>
      <c r="AC46" s="68"/>
      <c r="AD46" s="145"/>
      <c r="AE46" s="30"/>
      <c r="AF46" s="33"/>
      <c r="AG46" s="33"/>
      <c r="AH46" s="33"/>
      <c r="AI46" s="33"/>
      <c r="AJ46" s="33"/>
      <c r="AK46" s="33"/>
      <c r="AL46" s="33"/>
      <c r="AM46" s="33"/>
      <c r="AN46" s="214">
        <v>3210</v>
      </c>
      <c r="AO46" s="145">
        <v>180</v>
      </c>
      <c r="AP46" s="214">
        <v>21</v>
      </c>
      <c r="AQ46" s="145">
        <v>20.41</v>
      </c>
      <c r="AR46" s="145"/>
      <c r="AS46" s="145"/>
      <c r="AT46" s="145"/>
      <c r="AU46" s="145"/>
      <c r="AV46" s="91" t="s">
        <v>37</v>
      </c>
      <c r="AW46" s="2" t="s">
        <v>862</v>
      </c>
      <c r="AX46" s="91" t="s">
        <v>297</v>
      </c>
      <c r="AY46" s="55" t="s">
        <v>555</v>
      </c>
      <c r="AZ46" s="116" t="s">
        <v>558</v>
      </c>
    </row>
    <row r="47" spans="1:52" s="254" customFormat="1" ht="45">
      <c r="A47" s="182" t="s">
        <v>338</v>
      </c>
      <c r="B47" s="151" t="s">
        <v>339</v>
      </c>
      <c r="C47" s="1031" t="s">
        <v>140</v>
      </c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5"/>
      <c r="Q47" s="145"/>
      <c r="R47" s="145"/>
      <c r="S47" s="145"/>
      <c r="T47" s="145">
        <v>36</v>
      </c>
      <c r="U47" s="33">
        <v>28</v>
      </c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>
        <v>35</v>
      </c>
      <c r="AI47" s="145">
        <v>5.25</v>
      </c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 t="s">
        <v>279</v>
      </c>
      <c r="AW47" s="145" t="s">
        <v>968</v>
      </c>
      <c r="AX47" s="145" t="s">
        <v>280</v>
      </c>
      <c r="AY47" s="145" t="s">
        <v>306</v>
      </c>
      <c r="AZ47" s="116" t="s">
        <v>281</v>
      </c>
    </row>
    <row r="48" spans="1:52" s="254" customFormat="1" ht="30">
      <c r="A48" s="182" t="s">
        <v>340</v>
      </c>
      <c r="B48" s="151" t="s">
        <v>40</v>
      </c>
      <c r="C48" s="1032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>
        <v>250</v>
      </c>
      <c r="AI48" s="145">
        <v>8.09</v>
      </c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 t="s">
        <v>12</v>
      </c>
      <c r="AW48" s="145">
        <v>25</v>
      </c>
      <c r="AX48" s="145" t="s">
        <v>280</v>
      </c>
      <c r="AY48" s="145" t="s">
        <v>306</v>
      </c>
      <c r="AZ48" s="116" t="s">
        <v>281</v>
      </c>
    </row>
    <row r="49" spans="1:52" s="254" customFormat="1" ht="30">
      <c r="A49" s="182" t="s">
        <v>341</v>
      </c>
      <c r="B49" s="151" t="s">
        <v>343</v>
      </c>
      <c r="C49" s="1032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>
        <v>250</v>
      </c>
      <c r="AI49" s="30">
        <v>23</v>
      </c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145" t="s">
        <v>344</v>
      </c>
      <c r="AW49" s="145">
        <v>25</v>
      </c>
      <c r="AX49" s="145" t="s">
        <v>280</v>
      </c>
      <c r="AY49" s="145" t="s">
        <v>306</v>
      </c>
      <c r="AZ49" s="116" t="s">
        <v>281</v>
      </c>
    </row>
    <row r="50" spans="1:52" s="254" customFormat="1" ht="30">
      <c r="A50" s="182" t="s">
        <v>342</v>
      </c>
      <c r="B50" s="151" t="s">
        <v>345</v>
      </c>
      <c r="C50" s="1033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>
        <v>250</v>
      </c>
      <c r="AI50" s="145">
        <v>6.62</v>
      </c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 t="s">
        <v>23</v>
      </c>
      <c r="AW50" s="145">
        <v>25</v>
      </c>
      <c r="AX50" s="145" t="s">
        <v>280</v>
      </c>
      <c r="AY50" s="145" t="s">
        <v>306</v>
      </c>
      <c r="AZ50" s="116" t="s">
        <v>281</v>
      </c>
    </row>
    <row r="51" spans="1:52" s="254" customFormat="1" ht="78.75">
      <c r="A51" s="187" t="s">
        <v>640</v>
      </c>
      <c r="B51" s="92" t="s">
        <v>639</v>
      </c>
      <c r="C51" s="2" t="s">
        <v>638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45"/>
      <c r="Q51" s="145"/>
      <c r="R51" s="145"/>
      <c r="S51" s="145"/>
      <c r="T51" s="1062">
        <v>741</v>
      </c>
      <c r="U51" s="1062">
        <v>235</v>
      </c>
      <c r="V51" s="145">
        <v>1340</v>
      </c>
      <c r="W51" s="145">
        <v>29.86</v>
      </c>
      <c r="X51" s="145"/>
      <c r="Y51" s="145"/>
      <c r="Z51" s="145"/>
      <c r="AA51" s="145"/>
      <c r="AB51" s="145"/>
      <c r="AC51" s="145"/>
      <c r="AD51" s="145"/>
      <c r="AE51" s="30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55" t="s">
        <v>37</v>
      </c>
      <c r="AW51" s="145" t="s">
        <v>969</v>
      </c>
      <c r="AX51" s="2" t="s">
        <v>643</v>
      </c>
      <c r="AY51" s="2" t="s">
        <v>306</v>
      </c>
      <c r="AZ51" s="119" t="s">
        <v>641</v>
      </c>
    </row>
    <row r="52" spans="1:52" s="254" customFormat="1" ht="30">
      <c r="A52" s="182" t="s">
        <v>640</v>
      </c>
      <c r="B52" s="171" t="s">
        <v>919</v>
      </c>
      <c r="C52" s="195" t="s">
        <v>34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45"/>
      <c r="Q52" s="145"/>
      <c r="R52" s="145"/>
      <c r="S52" s="145"/>
      <c r="T52" s="1062"/>
      <c r="U52" s="1062"/>
      <c r="V52" s="145"/>
      <c r="W52" s="145"/>
      <c r="X52" s="145"/>
      <c r="Y52" s="145"/>
      <c r="Z52" s="145"/>
      <c r="AA52" s="145"/>
      <c r="AB52" s="145"/>
      <c r="AC52" s="145"/>
      <c r="AD52" s="145"/>
      <c r="AE52" s="30"/>
      <c r="AF52" s="145"/>
      <c r="AG52" s="145"/>
      <c r="AH52" s="145"/>
      <c r="AI52" s="145"/>
      <c r="AJ52" s="195">
        <v>352</v>
      </c>
      <c r="AK52" s="195">
        <v>299</v>
      </c>
      <c r="AL52" s="195"/>
      <c r="AM52" s="145"/>
      <c r="AN52" s="145"/>
      <c r="AO52" s="145"/>
      <c r="AP52" s="145"/>
      <c r="AQ52" s="145"/>
      <c r="AR52" s="145"/>
      <c r="AS52" s="145"/>
      <c r="AT52" s="145"/>
      <c r="AU52" s="145"/>
      <c r="AV52" s="195" t="s">
        <v>920</v>
      </c>
      <c r="AW52" s="195">
        <v>8</v>
      </c>
      <c r="AX52" s="112" t="s">
        <v>921</v>
      </c>
      <c r="AY52" s="2" t="s">
        <v>306</v>
      </c>
      <c r="AZ52" s="118" t="s">
        <v>306</v>
      </c>
    </row>
    <row r="53" spans="1:52" s="254" customFormat="1" ht="31.5">
      <c r="A53" s="187" t="s">
        <v>640</v>
      </c>
      <c r="B53" s="92" t="s">
        <v>777</v>
      </c>
      <c r="C53" s="2" t="s">
        <v>778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145"/>
      <c r="Q53" s="145"/>
      <c r="R53" s="145"/>
      <c r="S53" s="145"/>
      <c r="T53" s="1062"/>
      <c r="U53" s="1062"/>
      <c r="V53" s="145"/>
      <c r="W53" s="145"/>
      <c r="X53" s="145"/>
      <c r="Y53" s="145"/>
      <c r="Z53" s="145"/>
      <c r="AA53" s="145"/>
      <c r="AB53" s="145"/>
      <c r="AC53" s="145"/>
      <c r="AD53" s="145"/>
      <c r="AE53" s="30"/>
      <c r="AF53" s="145"/>
      <c r="AG53" s="145"/>
      <c r="AH53" s="145"/>
      <c r="AI53" s="145"/>
      <c r="AJ53" s="145"/>
      <c r="AK53" s="145"/>
      <c r="AL53" s="55">
        <v>5000</v>
      </c>
      <c r="AM53" s="55">
        <v>98.5</v>
      </c>
      <c r="AN53" s="55"/>
      <c r="AO53" s="55"/>
      <c r="AP53" s="55"/>
      <c r="AQ53" s="55"/>
      <c r="AR53" s="55"/>
      <c r="AS53" s="55"/>
      <c r="AT53" s="55"/>
      <c r="AU53" s="55"/>
      <c r="AV53" s="55" t="s">
        <v>12</v>
      </c>
      <c r="AW53" s="145">
        <v>20</v>
      </c>
      <c r="AX53" s="2" t="s">
        <v>610</v>
      </c>
      <c r="AY53" s="2" t="s">
        <v>548</v>
      </c>
      <c r="AZ53" s="118" t="s">
        <v>610</v>
      </c>
    </row>
    <row r="54" spans="1:52" s="254" customFormat="1" ht="15.75">
      <c r="A54" s="187" t="s">
        <v>640</v>
      </c>
      <c r="B54" s="171" t="s">
        <v>889</v>
      </c>
      <c r="C54" s="196" t="s">
        <v>683</v>
      </c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45"/>
      <c r="Q54" s="145"/>
      <c r="R54" s="145"/>
      <c r="S54" s="145"/>
      <c r="T54" s="1062"/>
      <c r="U54" s="1062"/>
      <c r="V54" s="145">
        <v>1340</v>
      </c>
      <c r="W54" s="145">
        <v>29.86</v>
      </c>
      <c r="X54" s="145"/>
      <c r="Y54" s="145"/>
      <c r="Z54" s="145"/>
      <c r="AA54" s="145"/>
      <c r="AB54" s="145"/>
      <c r="AC54" s="145"/>
      <c r="AD54" s="145">
        <v>12</v>
      </c>
      <c r="AE54" s="30">
        <v>1.37</v>
      </c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55" t="s">
        <v>685</v>
      </c>
      <c r="AW54" s="2" t="s">
        <v>970</v>
      </c>
      <c r="AX54" s="2" t="s">
        <v>686</v>
      </c>
      <c r="AY54" s="2" t="s">
        <v>306</v>
      </c>
      <c r="AZ54" s="119" t="s">
        <v>306</v>
      </c>
    </row>
    <row r="55" spans="1:52" s="254" customFormat="1" ht="15.75">
      <c r="A55" s="187" t="s">
        <v>640</v>
      </c>
      <c r="B55" s="171" t="s">
        <v>890</v>
      </c>
      <c r="C55" s="127" t="s">
        <v>891</v>
      </c>
      <c r="D55" s="91">
        <v>0</v>
      </c>
      <c r="E55" s="91">
        <v>0</v>
      </c>
      <c r="F55" s="91">
        <v>14</v>
      </c>
      <c r="G55" s="91">
        <v>0.69</v>
      </c>
      <c r="H55" s="91"/>
      <c r="I55" s="91"/>
      <c r="J55" s="91"/>
      <c r="K55" s="91"/>
      <c r="L55" s="91"/>
      <c r="M55" s="91"/>
      <c r="N55" s="91"/>
      <c r="O55" s="91"/>
      <c r="P55" s="145"/>
      <c r="Q55" s="145"/>
      <c r="R55" s="145"/>
      <c r="S55" s="145"/>
      <c r="T55" s="1062"/>
      <c r="U55" s="1062"/>
      <c r="V55" s="145"/>
      <c r="W55" s="145"/>
      <c r="X55" s="145"/>
      <c r="Y55" s="145"/>
      <c r="Z55" s="145"/>
      <c r="AA55" s="145"/>
      <c r="AB55" s="145"/>
      <c r="AC55" s="145"/>
      <c r="AD55" s="145"/>
      <c r="AE55" s="30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30" t="s">
        <v>37</v>
      </c>
      <c r="AW55" s="42" t="s">
        <v>971</v>
      </c>
      <c r="AX55" s="145" t="s">
        <v>975</v>
      </c>
      <c r="AY55" s="145" t="s">
        <v>555</v>
      </c>
      <c r="AZ55" s="116" t="s">
        <v>892</v>
      </c>
    </row>
    <row r="56" spans="1:52" s="254" customFormat="1" ht="31.5">
      <c r="A56" s="182" t="s">
        <v>136</v>
      </c>
      <c r="B56" s="151" t="s">
        <v>141</v>
      </c>
      <c r="C56" s="36" t="s">
        <v>142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1062"/>
      <c r="U56" s="1062"/>
      <c r="V56" s="32"/>
      <c r="W56" s="87"/>
      <c r="X56" s="87"/>
      <c r="Y56" s="87"/>
      <c r="Z56" s="87"/>
      <c r="AA56" s="87"/>
      <c r="AB56" s="87"/>
      <c r="AC56" s="87"/>
      <c r="AD56" s="87"/>
      <c r="AE56" s="87"/>
      <c r="AF56" s="145"/>
      <c r="AG56" s="145"/>
      <c r="AH56" s="145">
        <v>28</v>
      </c>
      <c r="AI56" s="145">
        <v>6.62</v>
      </c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55" t="s">
        <v>35</v>
      </c>
      <c r="AW56" s="145">
        <v>50</v>
      </c>
      <c r="AX56" s="2" t="s">
        <v>642</v>
      </c>
      <c r="AY56" s="2" t="s">
        <v>306</v>
      </c>
      <c r="AZ56" s="119" t="s">
        <v>306</v>
      </c>
    </row>
    <row r="57" spans="1:52" s="256" customFormat="1" ht="15.75">
      <c r="A57" s="182" t="s">
        <v>136</v>
      </c>
      <c r="B57" s="151" t="s">
        <v>682</v>
      </c>
      <c r="C57" s="196" t="s">
        <v>689</v>
      </c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36"/>
      <c r="Q57" s="36"/>
      <c r="R57" s="36"/>
      <c r="S57" s="36"/>
      <c r="T57" s="145"/>
      <c r="U57" s="145"/>
      <c r="V57" s="32"/>
      <c r="W57" s="87"/>
      <c r="X57" s="87"/>
      <c r="Y57" s="87"/>
      <c r="Z57" s="87"/>
      <c r="AA57" s="87"/>
      <c r="AB57" s="87"/>
      <c r="AC57" s="87"/>
      <c r="AD57" s="145">
        <v>12</v>
      </c>
      <c r="AE57" s="30">
        <v>6.6</v>
      </c>
      <c r="AF57" s="145"/>
      <c r="AG57" s="145"/>
      <c r="AH57" s="145"/>
      <c r="AI57" s="148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 t="s">
        <v>274</v>
      </c>
      <c r="AW57" s="145" t="s">
        <v>967</v>
      </c>
      <c r="AX57" s="145" t="s">
        <v>690</v>
      </c>
      <c r="AY57" s="145" t="s">
        <v>306</v>
      </c>
      <c r="AZ57" s="116" t="s">
        <v>306</v>
      </c>
    </row>
    <row r="58" spans="1:52" s="256" customFormat="1" ht="31.5">
      <c r="A58" s="182" t="s">
        <v>774</v>
      </c>
      <c r="B58" s="171" t="s">
        <v>922</v>
      </c>
      <c r="C58" s="195" t="s">
        <v>22</v>
      </c>
      <c r="D58" s="196"/>
      <c r="E58" s="196"/>
      <c r="F58" s="196"/>
      <c r="G58" s="196"/>
      <c r="H58" s="196"/>
      <c r="I58" s="196"/>
      <c r="J58" s="196"/>
      <c r="K58" s="196"/>
      <c r="L58" s="215" t="s">
        <v>929</v>
      </c>
      <c r="M58" s="216">
        <v>0</v>
      </c>
      <c r="N58" s="203">
        <v>125</v>
      </c>
      <c r="O58" s="217">
        <v>1</v>
      </c>
      <c r="P58" s="36"/>
      <c r="Q58" s="36"/>
      <c r="R58" s="36"/>
      <c r="S58" s="36"/>
      <c r="T58" s="145"/>
      <c r="U58" s="145"/>
      <c r="V58" s="32"/>
      <c r="W58" s="87"/>
      <c r="X58" s="87"/>
      <c r="Y58" s="87"/>
      <c r="Z58" s="87"/>
      <c r="AA58" s="87"/>
      <c r="AB58" s="87"/>
      <c r="AC58" s="87"/>
      <c r="AD58" s="145"/>
      <c r="AE58" s="30"/>
      <c r="AF58" s="145"/>
      <c r="AG58" s="145"/>
      <c r="AH58" s="145"/>
      <c r="AI58" s="148"/>
      <c r="AJ58" s="195">
        <v>20</v>
      </c>
      <c r="AK58" s="195">
        <v>15</v>
      </c>
      <c r="AL58" s="195">
        <v>10</v>
      </c>
      <c r="AM58" s="195">
        <v>2.05</v>
      </c>
      <c r="AN58" s="145"/>
      <c r="AO58" s="145"/>
      <c r="AP58" s="145"/>
      <c r="AQ58" s="145"/>
      <c r="AR58" s="145"/>
      <c r="AS58" s="145"/>
      <c r="AT58" s="145"/>
      <c r="AU58" s="145"/>
      <c r="AV58" s="195" t="s">
        <v>920</v>
      </c>
      <c r="AW58" s="195">
        <v>4</v>
      </c>
      <c r="AX58" s="112" t="s">
        <v>297</v>
      </c>
      <c r="AY58" s="145" t="s">
        <v>306</v>
      </c>
      <c r="AZ58" s="116" t="s">
        <v>306</v>
      </c>
    </row>
    <row r="59" spans="1:52" s="254" customFormat="1" ht="31.5">
      <c r="A59" s="182" t="s">
        <v>784</v>
      </c>
      <c r="B59" s="151" t="s">
        <v>785</v>
      </c>
      <c r="C59" s="145" t="s">
        <v>34</v>
      </c>
      <c r="D59" s="145" t="s">
        <v>575</v>
      </c>
      <c r="E59" s="145" t="s">
        <v>575</v>
      </c>
      <c r="F59" s="145">
        <v>150</v>
      </c>
      <c r="G59" s="145">
        <v>64</v>
      </c>
      <c r="H59" s="145"/>
      <c r="I59" s="145"/>
      <c r="J59" s="145"/>
      <c r="K59" s="145"/>
      <c r="L59" s="145"/>
      <c r="M59" s="145"/>
      <c r="N59" s="145"/>
      <c r="O59" s="145"/>
      <c r="P59" s="145" t="s">
        <v>610</v>
      </c>
      <c r="Q59" s="145" t="s">
        <v>610</v>
      </c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 t="s">
        <v>610</v>
      </c>
      <c r="AK59" s="145" t="s">
        <v>610</v>
      </c>
      <c r="AL59" s="145">
        <v>278</v>
      </c>
      <c r="AM59" s="145">
        <v>65</v>
      </c>
      <c r="AN59" s="145"/>
      <c r="AO59" s="145"/>
      <c r="AP59" s="145"/>
      <c r="AQ59" s="145"/>
      <c r="AR59" s="145"/>
      <c r="AS59" s="145"/>
      <c r="AT59" s="145"/>
      <c r="AU59" s="145"/>
      <c r="AV59" s="145" t="s">
        <v>786</v>
      </c>
      <c r="AW59" s="145">
        <v>30</v>
      </c>
      <c r="AX59" s="145" t="s">
        <v>575</v>
      </c>
      <c r="AY59" s="145" t="s">
        <v>548</v>
      </c>
      <c r="AZ59" s="116" t="s">
        <v>610</v>
      </c>
    </row>
    <row r="60" spans="1:52" s="254" customFormat="1" ht="15.75">
      <c r="A60" s="184" t="s">
        <v>346</v>
      </c>
      <c r="B60" s="151" t="s">
        <v>349</v>
      </c>
      <c r="C60" s="36" t="s">
        <v>350</v>
      </c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145"/>
      <c r="AG60" s="145"/>
      <c r="AH60" s="145">
        <v>18</v>
      </c>
      <c r="AI60" s="1057">
        <v>50</v>
      </c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145" t="s">
        <v>333</v>
      </c>
      <c r="AW60" s="145" t="s">
        <v>861</v>
      </c>
      <c r="AX60" s="145" t="s">
        <v>351</v>
      </c>
      <c r="AY60" s="1031" t="s">
        <v>548</v>
      </c>
      <c r="AZ60" s="116" t="s">
        <v>320</v>
      </c>
    </row>
    <row r="61" spans="1:52" s="254" customFormat="1" ht="15.75">
      <c r="A61" s="184" t="s">
        <v>347</v>
      </c>
      <c r="B61" s="151" t="s">
        <v>352</v>
      </c>
      <c r="C61" s="36" t="s">
        <v>353</v>
      </c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145"/>
      <c r="AG61" s="145"/>
      <c r="AH61" s="145">
        <v>1005</v>
      </c>
      <c r="AI61" s="1058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145" t="s">
        <v>12</v>
      </c>
      <c r="AW61" s="145">
        <v>15</v>
      </c>
      <c r="AX61" s="145" t="s">
        <v>280</v>
      </c>
      <c r="AY61" s="1032"/>
      <c r="AZ61" s="116" t="s">
        <v>354</v>
      </c>
    </row>
    <row r="62" spans="1:52" s="254" customFormat="1" ht="31.5">
      <c r="A62" s="184" t="s">
        <v>348</v>
      </c>
      <c r="B62" s="151" t="s">
        <v>355</v>
      </c>
      <c r="C62" s="36" t="s">
        <v>356</v>
      </c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145"/>
      <c r="AG62" s="145"/>
      <c r="AH62" s="145">
        <v>540</v>
      </c>
      <c r="AI62" s="1059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45" t="s">
        <v>15</v>
      </c>
      <c r="AW62" s="145">
        <v>30</v>
      </c>
      <c r="AX62" s="145" t="s">
        <v>280</v>
      </c>
      <c r="AY62" s="1033"/>
      <c r="AZ62" s="116" t="s">
        <v>354</v>
      </c>
    </row>
    <row r="63" spans="1:52" s="254" customFormat="1" ht="30">
      <c r="A63" s="184" t="s">
        <v>137</v>
      </c>
      <c r="B63" s="151" t="s">
        <v>143</v>
      </c>
      <c r="C63" s="36" t="s">
        <v>699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145">
        <f>AG63*AH63</f>
        <v>0</v>
      </c>
      <c r="AE63" s="30">
        <v>46.9</v>
      </c>
      <c r="AF63" s="145"/>
      <c r="AG63" s="145"/>
      <c r="AH63" s="145">
        <v>50</v>
      </c>
      <c r="AI63" s="145">
        <v>1.33</v>
      </c>
      <c r="AJ63" s="145"/>
      <c r="AK63" s="145"/>
      <c r="AL63" s="145"/>
      <c r="AM63" s="145"/>
      <c r="AN63" s="145"/>
      <c r="AO63" s="145"/>
      <c r="AP63" s="145"/>
      <c r="AQ63" s="145"/>
      <c r="AR63" s="2">
        <v>0</v>
      </c>
      <c r="AS63" s="2">
        <v>0</v>
      </c>
      <c r="AT63" s="2">
        <v>285</v>
      </c>
      <c r="AU63" s="2">
        <v>35.69</v>
      </c>
      <c r="AV63" s="145" t="s">
        <v>12</v>
      </c>
      <c r="AW63" s="145">
        <v>50</v>
      </c>
      <c r="AX63" s="145" t="s">
        <v>976</v>
      </c>
      <c r="AY63" s="145" t="s">
        <v>548</v>
      </c>
      <c r="AZ63" s="116" t="s">
        <v>313</v>
      </c>
    </row>
    <row r="64" spans="1:52" s="254" customFormat="1" ht="30">
      <c r="A64" s="184" t="s">
        <v>138</v>
      </c>
      <c r="B64" s="151" t="s">
        <v>144</v>
      </c>
      <c r="C64" s="36" t="s">
        <v>145</v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145">
        <v>25</v>
      </c>
      <c r="AE64" s="30">
        <v>2.27</v>
      </c>
      <c r="AF64" s="145"/>
      <c r="AG64" s="145"/>
      <c r="AH64" s="145">
        <v>1000</v>
      </c>
      <c r="AI64" s="145">
        <v>11.64</v>
      </c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 t="s">
        <v>15</v>
      </c>
      <c r="AW64" s="145">
        <v>50</v>
      </c>
      <c r="AX64" s="145" t="s">
        <v>311</v>
      </c>
      <c r="AY64" s="145" t="s">
        <v>548</v>
      </c>
      <c r="AZ64" s="116" t="s">
        <v>313</v>
      </c>
    </row>
    <row r="65" spans="1:52" s="254" customFormat="1" ht="105">
      <c r="A65" s="184" t="s">
        <v>691</v>
      </c>
      <c r="B65" s="151" t="s">
        <v>692</v>
      </c>
      <c r="C65" s="36" t="s">
        <v>693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145">
        <f>AG65*AH65</f>
        <v>0</v>
      </c>
      <c r="AE65" s="30">
        <v>27.8</v>
      </c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 t="s">
        <v>15</v>
      </c>
      <c r="AW65" s="145">
        <v>50</v>
      </c>
      <c r="AX65" s="145" t="s">
        <v>694</v>
      </c>
      <c r="AY65" s="145" t="s">
        <v>306</v>
      </c>
      <c r="AZ65" s="116" t="s">
        <v>306</v>
      </c>
    </row>
    <row r="66" spans="1:52" s="254" customFormat="1" ht="31.5">
      <c r="A66" s="184" t="s">
        <v>700</v>
      </c>
      <c r="B66" s="151" t="s">
        <v>701</v>
      </c>
      <c r="C66" s="36" t="s">
        <v>702</v>
      </c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145">
        <v>4</v>
      </c>
      <c r="AC66" s="145">
        <v>0</v>
      </c>
      <c r="AD66" s="145">
        <v>0</v>
      </c>
      <c r="AE66" s="30">
        <v>0</v>
      </c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16"/>
    </row>
    <row r="67" spans="1:52" s="254" customFormat="1" ht="15.75">
      <c r="A67" s="179" t="s">
        <v>895</v>
      </c>
      <c r="B67" s="174" t="s">
        <v>894</v>
      </c>
      <c r="C67" s="127" t="s">
        <v>893</v>
      </c>
      <c r="D67" s="91">
        <v>360</v>
      </c>
      <c r="E67" s="91">
        <v>22</v>
      </c>
      <c r="F67" s="91">
        <v>1100</v>
      </c>
      <c r="G67" s="91">
        <v>36.28</v>
      </c>
      <c r="H67" s="91"/>
      <c r="I67" s="91"/>
      <c r="J67" s="91"/>
      <c r="K67" s="91"/>
      <c r="L67" s="215">
        <v>0</v>
      </c>
      <c r="M67" s="218">
        <v>0</v>
      </c>
      <c r="N67" s="219">
        <v>10</v>
      </c>
      <c r="O67" s="220">
        <v>9.4</v>
      </c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145"/>
      <c r="AC67" s="145"/>
      <c r="AD67" s="145"/>
      <c r="AE67" s="30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30" t="s">
        <v>898</v>
      </c>
      <c r="AW67" s="42" t="s">
        <v>897</v>
      </c>
      <c r="AX67" s="145" t="s">
        <v>297</v>
      </c>
      <c r="AY67" s="145" t="s">
        <v>555</v>
      </c>
      <c r="AZ67" s="116" t="s">
        <v>896</v>
      </c>
    </row>
    <row r="68" spans="1:52" s="254" customFormat="1" ht="31.5">
      <c r="A68" s="201" t="s">
        <v>933</v>
      </c>
      <c r="B68" s="199" t="s">
        <v>932</v>
      </c>
      <c r="C68" s="127"/>
      <c r="D68" s="91"/>
      <c r="E68" s="91"/>
      <c r="F68" s="91"/>
      <c r="G68" s="91"/>
      <c r="H68" s="91"/>
      <c r="I68" s="91"/>
      <c r="J68" s="91"/>
      <c r="K68" s="91"/>
      <c r="L68" s="205">
        <v>2</v>
      </c>
      <c r="M68" s="205">
        <v>0</v>
      </c>
      <c r="N68" s="205">
        <v>0</v>
      </c>
      <c r="O68" s="99">
        <v>0</v>
      </c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145"/>
      <c r="AC68" s="145"/>
      <c r="AD68" s="145"/>
      <c r="AE68" s="30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30"/>
      <c r="AW68" s="42"/>
      <c r="AX68" s="145"/>
      <c r="AY68" s="145"/>
      <c r="AZ68" s="116"/>
    </row>
    <row r="69" spans="1:52" s="254" customFormat="1" ht="15.75">
      <c r="A69" s="184" t="s">
        <v>139</v>
      </c>
      <c r="B69" s="151" t="s">
        <v>146</v>
      </c>
      <c r="C69" s="36" t="s">
        <v>312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145"/>
      <c r="AG69" s="145"/>
      <c r="AH69" s="145">
        <v>1265</v>
      </c>
      <c r="AI69" s="145">
        <v>14.28</v>
      </c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 t="s">
        <v>15</v>
      </c>
      <c r="AW69" s="145">
        <v>30</v>
      </c>
      <c r="AX69" s="145" t="s">
        <v>16</v>
      </c>
      <c r="AY69" s="145" t="s">
        <v>306</v>
      </c>
      <c r="AZ69" s="116" t="s">
        <v>313</v>
      </c>
    </row>
    <row r="70" spans="1:52" s="256" customFormat="1" ht="45">
      <c r="A70" s="184" t="s">
        <v>302</v>
      </c>
      <c r="B70" s="35" t="s">
        <v>303</v>
      </c>
      <c r="C70" s="108" t="s">
        <v>305</v>
      </c>
      <c r="D70" s="108"/>
      <c r="E70" s="108"/>
      <c r="F70" s="108"/>
      <c r="G70" s="108"/>
      <c r="H70" s="108"/>
      <c r="I70" s="108"/>
      <c r="J70" s="108"/>
      <c r="K70" s="108"/>
      <c r="L70" s="210">
        <v>10</v>
      </c>
      <c r="M70" s="210">
        <v>0</v>
      </c>
      <c r="N70" s="203">
        <v>500</v>
      </c>
      <c r="O70" s="209">
        <v>9.66</v>
      </c>
      <c r="P70" s="108"/>
      <c r="Q70" s="108"/>
      <c r="R70" s="68">
        <v>14</v>
      </c>
      <c r="S70" s="68">
        <v>2.53</v>
      </c>
      <c r="T70" s="68"/>
      <c r="U70" s="68"/>
      <c r="V70" s="68"/>
      <c r="W70" s="68"/>
      <c r="X70" s="68"/>
      <c r="Y70" s="68"/>
      <c r="Z70" s="68"/>
      <c r="AA70" s="68"/>
      <c r="AB70" s="145">
        <v>40</v>
      </c>
      <c r="AC70" s="5">
        <v>47</v>
      </c>
      <c r="AD70" s="145">
        <v>40</v>
      </c>
      <c r="AE70" s="30">
        <v>2</v>
      </c>
      <c r="AF70" s="5">
        <v>25</v>
      </c>
      <c r="AG70" s="5">
        <v>51</v>
      </c>
      <c r="AH70" s="145">
        <v>30</v>
      </c>
      <c r="AI70" s="145">
        <v>1.74</v>
      </c>
      <c r="AJ70" s="145" t="s">
        <v>779</v>
      </c>
      <c r="AK70" s="145">
        <v>12</v>
      </c>
      <c r="AL70" s="145">
        <v>320</v>
      </c>
      <c r="AM70" s="145">
        <v>4</v>
      </c>
      <c r="AN70" s="145"/>
      <c r="AO70" s="145"/>
      <c r="AP70" s="145"/>
      <c r="AQ70" s="145"/>
      <c r="AR70" s="145"/>
      <c r="AS70" s="145"/>
      <c r="AT70" s="145"/>
      <c r="AU70" s="145"/>
      <c r="AV70" s="145" t="s">
        <v>12</v>
      </c>
      <c r="AW70" s="145">
        <v>30</v>
      </c>
      <c r="AX70" s="145" t="s">
        <v>28</v>
      </c>
      <c r="AY70" s="145" t="s">
        <v>306</v>
      </c>
      <c r="AZ70" s="116" t="s">
        <v>106</v>
      </c>
    </row>
    <row r="71" spans="1:52" s="256" customFormat="1" ht="15.75">
      <c r="A71" s="186" t="s">
        <v>562</v>
      </c>
      <c r="B71" s="151" t="s">
        <v>38</v>
      </c>
      <c r="C71" s="108" t="s">
        <v>563</v>
      </c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68">
        <v>134</v>
      </c>
      <c r="S71" s="68">
        <v>5</v>
      </c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5"/>
      <c r="AG71" s="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 t="s">
        <v>565</v>
      </c>
      <c r="AW71" s="109" t="s">
        <v>972</v>
      </c>
      <c r="AX71" s="145" t="s">
        <v>566</v>
      </c>
      <c r="AY71" s="145" t="s">
        <v>555</v>
      </c>
      <c r="AZ71" s="116" t="s">
        <v>564</v>
      </c>
    </row>
    <row r="72" spans="1:52" s="256" customFormat="1" ht="60">
      <c r="A72" s="175" t="s">
        <v>910</v>
      </c>
      <c r="B72" s="96" t="s">
        <v>909</v>
      </c>
      <c r="C72" s="131" t="s">
        <v>909</v>
      </c>
      <c r="D72" s="108"/>
      <c r="E72" s="108"/>
      <c r="F72" s="108"/>
      <c r="G72" s="108"/>
      <c r="H72" s="2" t="s">
        <v>610</v>
      </c>
      <c r="I72" s="2" t="s">
        <v>610</v>
      </c>
      <c r="J72" s="2" t="s">
        <v>610</v>
      </c>
      <c r="K72" s="91">
        <v>5.86</v>
      </c>
      <c r="L72" s="108"/>
      <c r="M72" s="108"/>
      <c r="N72" s="108"/>
      <c r="O72" s="108"/>
      <c r="P72" s="108"/>
      <c r="Q72" s="10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5"/>
      <c r="AG72" s="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 t="s">
        <v>376</v>
      </c>
      <c r="AW72" s="109" t="s">
        <v>911</v>
      </c>
      <c r="AX72" s="2" t="s">
        <v>977</v>
      </c>
      <c r="AY72" s="2" t="s">
        <v>913</v>
      </c>
      <c r="AZ72" s="118" t="s">
        <v>912</v>
      </c>
    </row>
    <row r="73" spans="1:52" s="254" customFormat="1" ht="16.5" thickBot="1">
      <c r="A73" s="188"/>
      <c r="B73" s="189" t="s">
        <v>115</v>
      </c>
      <c r="C73" s="194" t="s">
        <v>39</v>
      </c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266">
        <v>1400</v>
      </c>
      <c r="AG73" s="266">
        <v>336</v>
      </c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267"/>
      <c r="AX73" s="126"/>
      <c r="AY73" s="126"/>
      <c r="AZ73" s="268"/>
    </row>
    <row r="74" spans="1:52" s="260" customFormat="1" ht="17.25" customHeight="1" thickBot="1">
      <c r="A74" s="122"/>
      <c r="B74" s="1035" t="s">
        <v>30</v>
      </c>
      <c r="C74" s="1035"/>
      <c r="D74" s="269">
        <f>SUM(D44:D73)</f>
        <v>460</v>
      </c>
      <c r="E74" s="269">
        <f aca="true" t="shared" si="4" ref="E74:AU74">SUM(E44:E73)</f>
        <v>22</v>
      </c>
      <c r="F74" s="269">
        <f t="shared" si="4"/>
        <v>1314</v>
      </c>
      <c r="G74" s="269">
        <f t="shared" si="4"/>
        <v>112.19</v>
      </c>
      <c r="H74" s="269">
        <f t="shared" si="4"/>
        <v>0</v>
      </c>
      <c r="I74" s="269">
        <f t="shared" si="4"/>
        <v>0</v>
      </c>
      <c r="J74" s="269">
        <f t="shared" si="4"/>
        <v>360</v>
      </c>
      <c r="K74" s="269">
        <f t="shared" si="4"/>
        <v>79.97</v>
      </c>
      <c r="L74" s="269">
        <f t="shared" si="4"/>
        <v>12</v>
      </c>
      <c r="M74" s="269">
        <f t="shared" si="4"/>
        <v>0</v>
      </c>
      <c r="N74" s="269">
        <f t="shared" si="4"/>
        <v>635</v>
      </c>
      <c r="O74" s="269">
        <f t="shared" si="4"/>
        <v>20.060000000000002</v>
      </c>
      <c r="P74" s="269">
        <f t="shared" si="4"/>
        <v>0</v>
      </c>
      <c r="Q74" s="269">
        <f t="shared" si="4"/>
        <v>31</v>
      </c>
      <c r="R74" s="269">
        <f t="shared" si="4"/>
        <v>648</v>
      </c>
      <c r="S74" s="269">
        <f t="shared" si="4"/>
        <v>25.03</v>
      </c>
      <c r="T74" s="269">
        <f t="shared" si="4"/>
        <v>777</v>
      </c>
      <c r="U74" s="269">
        <f t="shared" si="4"/>
        <v>263</v>
      </c>
      <c r="V74" s="269">
        <f t="shared" si="4"/>
        <v>2680</v>
      </c>
      <c r="W74" s="269">
        <f t="shared" si="4"/>
        <v>59.72</v>
      </c>
      <c r="X74" s="269">
        <f t="shared" si="4"/>
        <v>24</v>
      </c>
      <c r="Y74" s="269">
        <f t="shared" si="4"/>
        <v>11</v>
      </c>
      <c r="Z74" s="269">
        <f t="shared" si="4"/>
        <v>24</v>
      </c>
      <c r="AA74" s="269">
        <f t="shared" si="4"/>
        <v>2.48</v>
      </c>
      <c r="AB74" s="269">
        <f t="shared" si="4"/>
        <v>144</v>
      </c>
      <c r="AC74" s="269">
        <f t="shared" si="4"/>
        <v>115</v>
      </c>
      <c r="AD74" s="269">
        <f t="shared" si="4"/>
        <v>189</v>
      </c>
      <c r="AE74" s="269">
        <f t="shared" si="4"/>
        <v>115.32</v>
      </c>
      <c r="AF74" s="269">
        <f t="shared" si="4"/>
        <v>1425</v>
      </c>
      <c r="AG74" s="269">
        <f t="shared" si="4"/>
        <v>387</v>
      </c>
      <c r="AH74" s="269">
        <f t="shared" si="4"/>
        <v>4721</v>
      </c>
      <c r="AI74" s="269">
        <f t="shared" si="4"/>
        <v>128.57</v>
      </c>
      <c r="AJ74" s="269">
        <f t="shared" si="4"/>
        <v>372</v>
      </c>
      <c r="AK74" s="269">
        <f t="shared" si="4"/>
        <v>326</v>
      </c>
      <c r="AL74" s="269">
        <f t="shared" si="4"/>
        <v>5608</v>
      </c>
      <c r="AM74" s="269">
        <f t="shared" si="4"/>
        <v>169.55</v>
      </c>
      <c r="AN74" s="269">
        <f t="shared" si="4"/>
        <v>3210</v>
      </c>
      <c r="AO74" s="269">
        <f t="shared" si="4"/>
        <v>180</v>
      </c>
      <c r="AP74" s="269">
        <f t="shared" si="4"/>
        <v>21</v>
      </c>
      <c r="AQ74" s="269">
        <f t="shared" si="4"/>
        <v>20.41</v>
      </c>
      <c r="AR74" s="269">
        <f t="shared" si="4"/>
        <v>0</v>
      </c>
      <c r="AS74" s="269">
        <f t="shared" si="4"/>
        <v>0</v>
      </c>
      <c r="AT74" s="269">
        <f t="shared" si="4"/>
        <v>285</v>
      </c>
      <c r="AU74" s="269">
        <f t="shared" si="4"/>
        <v>35.69</v>
      </c>
      <c r="AV74" s="165"/>
      <c r="AW74" s="165"/>
      <c r="AX74" s="165"/>
      <c r="AY74" s="165"/>
      <c r="AZ74" s="124"/>
    </row>
    <row r="75" spans="1:52" s="260" customFormat="1" ht="17.25" customHeight="1" thickBot="1">
      <c r="A75" s="122"/>
      <c r="B75" s="1036" t="s">
        <v>17</v>
      </c>
      <c r="C75" s="1036"/>
      <c r="D75" s="270">
        <f>SUM(D24,D29,D38,D42,D74)</f>
        <v>2116</v>
      </c>
      <c r="E75" s="270">
        <f aca="true" t="shared" si="5" ref="E75:AU75">SUM(E24,E29,E38,E42,E74)</f>
        <v>701</v>
      </c>
      <c r="F75" s="270">
        <f t="shared" si="5"/>
        <v>3262</v>
      </c>
      <c r="G75" s="270">
        <f t="shared" si="5"/>
        <v>364.8</v>
      </c>
      <c r="H75" s="270">
        <f t="shared" si="5"/>
        <v>4218</v>
      </c>
      <c r="I75" s="270">
        <f t="shared" si="5"/>
        <v>1663</v>
      </c>
      <c r="J75" s="270">
        <f t="shared" si="5"/>
        <v>4122</v>
      </c>
      <c r="K75" s="270">
        <f t="shared" si="5"/>
        <v>428.43999999999994</v>
      </c>
      <c r="L75" s="270">
        <f t="shared" si="5"/>
        <v>947</v>
      </c>
      <c r="M75" s="270">
        <f t="shared" si="5"/>
        <v>1061</v>
      </c>
      <c r="N75" s="270">
        <f t="shared" si="5"/>
        <v>2253</v>
      </c>
      <c r="O75" s="270">
        <f t="shared" si="5"/>
        <v>316.18</v>
      </c>
      <c r="P75" s="270">
        <f t="shared" si="5"/>
        <v>937</v>
      </c>
      <c r="Q75" s="270">
        <f t="shared" si="5"/>
        <v>116</v>
      </c>
      <c r="R75" s="270">
        <f t="shared" si="5"/>
        <v>1924</v>
      </c>
      <c r="S75" s="270">
        <f t="shared" si="5"/>
        <v>190.09</v>
      </c>
      <c r="T75" s="270">
        <f t="shared" si="5"/>
        <v>1669</v>
      </c>
      <c r="U75" s="270">
        <f t="shared" si="5"/>
        <v>419</v>
      </c>
      <c r="V75" s="270">
        <f t="shared" si="5"/>
        <v>3708</v>
      </c>
      <c r="W75" s="270">
        <f t="shared" si="5"/>
        <v>122.4</v>
      </c>
      <c r="X75" s="270">
        <f t="shared" si="5"/>
        <v>921</v>
      </c>
      <c r="Y75" s="270">
        <f t="shared" si="5"/>
        <v>429</v>
      </c>
      <c r="Z75" s="270">
        <f t="shared" si="5"/>
        <v>343</v>
      </c>
      <c r="AA75" s="270">
        <f t="shared" si="5"/>
        <v>86.7</v>
      </c>
      <c r="AB75" s="270">
        <f t="shared" si="5"/>
        <v>2853</v>
      </c>
      <c r="AC75" s="270">
        <f t="shared" si="5"/>
        <v>2326</v>
      </c>
      <c r="AD75" s="270">
        <f t="shared" si="5"/>
        <v>11183</v>
      </c>
      <c r="AE75" s="270">
        <f t="shared" si="5"/>
        <v>655.3</v>
      </c>
      <c r="AF75" s="270">
        <f t="shared" si="5"/>
        <v>5646</v>
      </c>
      <c r="AG75" s="270">
        <f t="shared" si="5"/>
        <v>2997</v>
      </c>
      <c r="AH75" s="270">
        <f t="shared" si="5"/>
        <v>8735</v>
      </c>
      <c r="AI75" s="270">
        <f t="shared" si="5"/>
        <v>489.71000000000004</v>
      </c>
      <c r="AJ75" s="270">
        <f t="shared" si="5"/>
        <v>1074</v>
      </c>
      <c r="AK75" s="270">
        <f t="shared" si="5"/>
        <v>545</v>
      </c>
      <c r="AL75" s="270">
        <f t="shared" si="5"/>
        <v>29083</v>
      </c>
      <c r="AM75" s="270">
        <f t="shared" si="5"/>
        <v>321.95000000000005</v>
      </c>
      <c r="AN75" s="270">
        <f t="shared" si="5"/>
        <v>5528</v>
      </c>
      <c r="AO75" s="270">
        <f t="shared" si="5"/>
        <v>671</v>
      </c>
      <c r="AP75" s="270">
        <f t="shared" si="5"/>
        <v>3896</v>
      </c>
      <c r="AQ75" s="270">
        <f t="shared" si="5"/>
        <v>1043.21</v>
      </c>
      <c r="AR75" s="270">
        <f t="shared" si="5"/>
        <v>0</v>
      </c>
      <c r="AS75" s="270">
        <f t="shared" si="5"/>
        <v>0</v>
      </c>
      <c r="AT75" s="270">
        <f t="shared" si="5"/>
        <v>311</v>
      </c>
      <c r="AU75" s="270">
        <f t="shared" si="5"/>
        <v>40.089999999999996</v>
      </c>
      <c r="AV75" s="165"/>
      <c r="AW75" s="165"/>
      <c r="AX75" s="165"/>
      <c r="AY75" s="165"/>
      <c r="AZ75" s="124"/>
    </row>
    <row r="76" ht="17.25" customHeight="1">
      <c r="B76" s="190"/>
    </row>
  </sheetData>
  <sheetProtection/>
  <mergeCells count="68">
    <mergeCell ref="L4:M4"/>
    <mergeCell ref="N4:O4"/>
    <mergeCell ref="H10:H12"/>
    <mergeCell ref="I10:I12"/>
    <mergeCell ref="V4:W4"/>
    <mergeCell ref="P3:S3"/>
    <mergeCell ref="T3:W3"/>
    <mergeCell ref="D3:G3"/>
    <mergeCell ref="D4:E4"/>
    <mergeCell ref="F4:G4"/>
    <mergeCell ref="J4:K4"/>
    <mergeCell ref="L3:O3"/>
    <mergeCell ref="H3:K3"/>
    <mergeCell ref="H4:I4"/>
    <mergeCell ref="AN3:AQ3"/>
    <mergeCell ref="AN4:AO4"/>
    <mergeCell ref="AP4:AQ4"/>
    <mergeCell ref="AR3:AU3"/>
    <mergeCell ref="AR4:AS4"/>
    <mergeCell ref="X3:AA3"/>
    <mergeCell ref="X4:Y4"/>
    <mergeCell ref="Z4:AA4"/>
    <mergeCell ref="AV4:AV5"/>
    <mergeCell ref="AW4:AW5"/>
    <mergeCell ref="AX4:AX5"/>
    <mergeCell ref="T4:U4"/>
    <mergeCell ref="AB3:AE3"/>
    <mergeCell ref="AB4:AC4"/>
    <mergeCell ref="N26:O26"/>
    <mergeCell ref="T51:T56"/>
    <mergeCell ref="U51:U56"/>
    <mergeCell ref="A3:C3"/>
    <mergeCell ref="AV3:AZ3"/>
    <mergeCell ref="AL4:AM4"/>
    <mergeCell ref="AF3:AI3"/>
    <mergeCell ref="P4:Q4"/>
    <mergeCell ref="R4:S4"/>
    <mergeCell ref="AJ3:AM3"/>
    <mergeCell ref="A1:AZ1"/>
    <mergeCell ref="A2:AZ2"/>
    <mergeCell ref="A4:A5"/>
    <mergeCell ref="B4:B5"/>
    <mergeCell ref="C4:C5"/>
    <mergeCell ref="AT4:AU4"/>
    <mergeCell ref="AD4:AE4"/>
    <mergeCell ref="AY4:AY5"/>
    <mergeCell ref="AZ4:AZ5"/>
    <mergeCell ref="AJ4:AK4"/>
    <mergeCell ref="B75:C75"/>
    <mergeCell ref="C26:C28"/>
    <mergeCell ref="B29:C29"/>
    <mergeCell ref="B38:C38"/>
    <mergeCell ref="B39:AZ39"/>
    <mergeCell ref="B42:C42"/>
    <mergeCell ref="B43:AZ43"/>
    <mergeCell ref="C31:C32"/>
    <mergeCell ref="C34:C35"/>
    <mergeCell ref="H30:H35"/>
    <mergeCell ref="B24:C24"/>
    <mergeCell ref="C14:C21"/>
    <mergeCell ref="C47:C50"/>
    <mergeCell ref="AF4:AG4"/>
    <mergeCell ref="AH4:AI4"/>
    <mergeCell ref="B74:C74"/>
    <mergeCell ref="I30:I35"/>
    <mergeCell ref="B25:AZ25"/>
    <mergeCell ref="AI60:AI62"/>
    <mergeCell ref="AY60:AY62"/>
  </mergeCells>
  <printOptions/>
  <pageMargins left="0.06" right="0.03" top="0.12" bottom="0.12" header="0.11" footer="0.11"/>
  <pageSetup horizontalDpi="600" verticalDpi="600" orientation="landscape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A38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5"/>
  <cols>
    <col min="1" max="1" width="15.421875" style="18" customWidth="1"/>
    <col min="2" max="2" width="20.7109375" style="18" customWidth="1"/>
    <col min="3" max="3" width="19.421875" style="10" customWidth="1"/>
    <col min="4" max="7" width="6.7109375" style="10" customWidth="1"/>
    <col min="8" max="15" width="6.140625" style="10" customWidth="1"/>
    <col min="16" max="19" width="6.421875" style="10" customWidth="1"/>
    <col min="20" max="21" width="7.8515625" style="10" customWidth="1"/>
    <col min="22" max="22" width="10.28125" style="10" customWidth="1"/>
    <col min="23" max="23" width="7.8515625" style="10" customWidth="1"/>
    <col min="24" max="24" width="8.421875" style="10" customWidth="1"/>
    <col min="25" max="25" width="7.00390625" style="10" customWidth="1"/>
    <col min="26" max="26" width="6.57421875" style="10" customWidth="1"/>
    <col min="27" max="27" width="7.28125" style="10" customWidth="1"/>
    <col min="28" max="28" width="9.57421875" style="10" customWidth="1"/>
    <col min="29" max="29" width="7.140625" style="10" customWidth="1"/>
    <col min="30" max="44" width="7.28125" style="10" customWidth="1"/>
    <col min="45" max="45" width="7.57421875" style="10" customWidth="1"/>
    <col min="46" max="46" width="6.7109375" style="10" customWidth="1"/>
    <col min="47" max="47" width="8.140625" style="10" customWidth="1"/>
    <col min="48" max="48" width="11.28125" style="13" customWidth="1"/>
    <col min="49" max="49" width="20.7109375" style="13" customWidth="1"/>
    <col min="50" max="50" width="36.00390625" style="13" customWidth="1"/>
    <col min="51" max="51" width="17.8515625" style="652" customWidth="1"/>
    <col min="52" max="52" width="35.8515625" style="652" customWidth="1"/>
    <col min="53" max="53" width="2.7109375" style="13" hidden="1" customWidth="1"/>
    <col min="54" max="16384" width="9.140625" style="13" customWidth="1"/>
  </cols>
  <sheetData>
    <row r="1" spans="1:53" s="18" customFormat="1" ht="16.5" thickBot="1">
      <c r="A1" s="1181" t="s">
        <v>65</v>
      </c>
      <c r="B1" s="1182"/>
      <c r="C1" s="1182"/>
      <c r="D1" s="1182"/>
      <c r="E1" s="1182"/>
      <c r="F1" s="1182"/>
      <c r="G1" s="1182"/>
      <c r="H1" s="1182"/>
      <c r="I1" s="1182"/>
      <c r="J1" s="1182"/>
      <c r="K1" s="1182"/>
      <c r="L1" s="1182"/>
      <c r="M1" s="1182"/>
      <c r="N1" s="1182"/>
      <c r="O1" s="1182"/>
      <c r="P1" s="1182"/>
      <c r="Q1" s="1182"/>
      <c r="R1" s="1182"/>
      <c r="S1" s="1182"/>
      <c r="T1" s="1182"/>
      <c r="U1" s="1182"/>
      <c r="V1" s="1182"/>
      <c r="W1" s="1182"/>
      <c r="X1" s="1182"/>
      <c r="Y1" s="1182"/>
      <c r="Z1" s="1182"/>
      <c r="AA1" s="1182"/>
      <c r="AB1" s="1182"/>
      <c r="AC1" s="1182"/>
      <c r="AD1" s="1182"/>
      <c r="AE1" s="1182"/>
      <c r="AF1" s="1182"/>
      <c r="AG1" s="1182"/>
      <c r="AH1" s="1182"/>
      <c r="AI1" s="1182"/>
      <c r="AJ1" s="1182"/>
      <c r="AK1" s="1182"/>
      <c r="AL1" s="1182"/>
      <c r="AM1" s="1182"/>
      <c r="AN1" s="1182"/>
      <c r="AO1" s="1182"/>
      <c r="AP1" s="1182"/>
      <c r="AQ1" s="1182"/>
      <c r="AR1" s="1182"/>
      <c r="AS1" s="1182"/>
      <c r="AT1" s="1182"/>
      <c r="AU1" s="1182"/>
      <c r="AV1" s="1182"/>
      <c r="AW1" s="1182"/>
      <c r="AX1" s="1182"/>
      <c r="AY1" s="1182"/>
      <c r="AZ1" s="1182"/>
      <c r="BA1" s="1183"/>
    </row>
    <row r="2" spans="1:53" s="18" customFormat="1" ht="16.5" thickBot="1">
      <c r="A2" s="1243" t="s">
        <v>550</v>
      </c>
      <c r="B2" s="1244"/>
      <c r="C2" s="1244"/>
      <c r="D2" s="1244"/>
      <c r="E2" s="1244"/>
      <c r="F2" s="1244"/>
      <c r="G2" s="1244"/>
      <c r="H2" s="1244"/>
      <c r="I2" s="1244"/>
      <c r="J2" s="1244"/>
      <c r="K2" s="1244"/>
      <c r="L2" s="1244"/>
      <c r="M2" s="1244"/>
      <c r="N2" s="1244"/>
      <c r="O2" s="1244"/>
      <c r="P2" s="1244"/>
      <c r="Q2" s="1244"/>
      <c r="R2" s="1244"/>
      <c r="S2" s="1244"/>
      <c r="T2" s="1244"/>
      <c r="U2" s="1244"/>
      <c r="V2" s="1244"/>
      <c r="W2" s="1244"/>
      <c r="X2" s="1244"/>
      <c r="Y2" s="1244"/>
      <c r="Z2" s="1244"/>
      <c r="AA2" s="1244"/>
      <c r="AB2" s="1244"/>
      <c r="AC2" s="1244"/>
      <c r="AD2" s="1244"/>
      <c r="AE2" s="1244"/>
      <c r="AF2" s="1244"/>
      <c r="AG2" s="1244"/>
      <c r="AH2" s="1244"/>
      <c r="AI2" s="1244"/>
      <c r="AJ2" s="1244"/>
      <c r="AK2" s="1244"/>
      <c r="AL2" s="1244"/>
      <c r="AM2" s="1244"/>
      <c r="AN2" s="1244"/>
      <c r="AO2" s="1244"/>
      <c r="AP2" s="1244"/>
      <c r="AQ2" s="1244"/>
      <c r="AR2" s="1244"/>
      <c r="AS2" s="1244"/>
      <c r="AT2" s="1244"/>
      <c r="AU2" s="1244"/>
      <c r="AV2" s="1244"/>
      <c r="AW2" s="1244"/>
      <c r="AX2" s="1244"/>
      <c r="AY2" s="1244"/>
      <c r="AZ2" s="1244"/>
      <c r="BA2" s="1245"/>
    </row>
    <row r="3" spans="1:53" s="18" customFormat="1" ht="18.75" customHeight="1" thickBot="1">
      <c r="A3" s="1114"/>
      <c r="B3" s="1115"/>
      <c r="C3" s="1115"/>
      <c r="D3" s="1114" t="s">
        <v>988</v>
      </c>
      <c r="E3" s="1115"/>
      <c r="F3" s="1115"/>
      <c r="G3" s="1116"/>
      <c r="H3" s="1114" t="s">
        <v>989</v>
      </c>
      <c r="I3" s="1115"/>
      <c r="J3" s="1115"/>
      <c r="K3" s="1116"/>
      <c r="L3" s="1114" t="s">
        <v>990</v>
      </c>
      <c r="M3" s="1115"/>
      <c r="N3" s="1115"/>
      <c r="O3" s="1116"/>
      <c r="P3" s="1114" t="s">
        <v>991</v>
      </c>
      <c r="Q3" s="1115"/>
      <c r="R3" s="1115"/>
      <c r="S3" s="1116"/>
      <c r="T3" s="1114" t="s">
        <v>992</v>
      </c>
      <c r="U3" s="1115"/>
      <c r="V3" s="1115"/>
      <c r="W3" s="1116"/>
      <c r="X3" s="1114" t="s">
        <v>993</v>
      </c>
      <c r="Y3" s="1115"/>
      <c r="Z3" s="1115"/>
      <c r="AA3" s="1116"/>
      <c r="AB3" s="1114" t="s">
        <v>994</v>
      </c>
      <c r="AC3" s="1115"/>
      <c r="AD3" s="1115"/>
      <c r="AE3" s="1116"/>
      <c r="AF3" s="1114" t="s">
        <v>995</v>
      </c>
      <c r="AG3" s="1115"/>
      <c r="AH3" s="1115"/>
      <c r="AI3" s="1116"/>
      <c r="AJ3" s="1114" t="s">
        <v>996</v>
      </c>
      <c r="AK3" s="1115"/>
      <c r="AL3" s="1115"/>
      <c r="AM3" s="1116"/>
      <c r="AN3" s="1114" t="s">
        <v>997</v>
      </c>
      <c r="AO3" s="1115"/>
      <c r="AP3" s="1115"/>
      <c r="AQ3" s="1116"/>
      <c r="AR3" s="1114" t="s">
        <v>998</v>
      </c>
      <c r="AS3" s="1115"/>
      <c r="AT3" s="1115"/>
      <c r="AU3" s="1116"/>
      <c r="AV3" s="1114"/>
      <c r="AW3" s="1115"/>
      <c r="AX3" s="1115"/>
      <c r="AY3" s="1116"/>
      <c r="AZ3" s="404"/>
      <c r="BA3" s="754"/>
    </row>
    <row r="4" spans="1:53" s="293" customFormat="1" ht="15.75" customHeight="1">
      <c r="A4" s="1235" t="s">
        <v>116</v>
      </c>
      <c r="B4" s="1051" t="s">
        <v>43</v>
      </c>
      <c r="C4" s="1051" t="s">
        <v>20</v>
      </c>
      <c r="D4" s="1246" t="s">
        <v>112</v>
      </c>
      <c r="E4" s="1247"/>
      <c r="F4" s="1246" t="s">
        <v>113</v>
      </c>
      <c r="G4" s="1247"/>
      <c r="H4" s="1246" t="s">
        <v>112</v>
      </c>
      <c r="I4" s="1247"/>
      <c r="J4" s="1246" t="s">
        <v>113</v>
      </c>
      <c r="K4" s="1247"/>
      <c r="L4" s="1246" t="s">
        <v>112</v>
      </c>
      <c r="M4" s="1247"/>
      <c r="N4" s="1246" t="s">
        <v>113</v>
      </c>
      <c r="O4" s="1247"/>
      <c r="P4" s="1246" t="s">
        <v>112</v>
      </c>
      <c r="Q4" s="1247"/>
      <c r="R4" s="1246" t="s">
        <v>113</v>
      </c>
      <c r="S4" s="1247"/>
      <c r="T4" s="1246" t="s">
        <v>112</v>
      </c>
      <c r="U4" s="1247"/>
      <c r="V4" s="1246" t="s">
        <v>113</v>
      </c>
      <c r="W4" s="1247"/>
      <c r="X4" s="1246" t="s">
        <v>112</v>
      </c>
      <c r="Y4" s="1247"/>
      <c r="Z4" s="1246" t="s">
        <v>113</v>
      </c>
      <c r="AA4" s="1247"/>
      <c r="AB4" s="1246" t="s">
        <v>112</v>
      </c>
      <c r="AC4" s="1247"/>
      <c r="AD4" s="1246" t="s">
        <v>113</v>
      </c>
      <c r="AE4" s="1247"/>
      <c r="AF4" s="1246" t="s">
        <v>112</v>
      </c>
      <c r="AG4" s="1247"/>
      <c r="AH4" s="1246" t="s">
        <v>113</v>
      </c>
      <c r="AI4" s="1247"/>
      <c r="AJ4" s="1246" t="s">
        <v>112</v>
      </c>
      <c r="AK4" s="1247"/>
      <c r="AL4" s="1246" t="s">
        <v>113</v>
      </c>
      <c r="AM4" s="1247"/>
      <c r="AN4" s="1246" t="s">
        <v>112</v>
      </c>
      <c r="AO4" s="1247"/>
      <c r="AP4" s="1246" t="s">
        <v>113</v>
      </c>
      <c r="AQ4" s="1247"/>
      <c r="AR4" s="1246" t="s">
        <v>112</v>
      </c>
      <c r="AS4" s="1247"/>
      <c r="AT4" s="1246" t="s">
        <v>113</v>
      </c>
      <c r="AU4" s="1247"/>
      <c r="AV4" s="1117" t="s">
        <v>4</v>
      </c>
      <c r="AW4" s="1117" t="s">
        <v>855</v>
      </c>
      <c r="AX4" s="1117" t="s">
        <v>5</v>
      </c>
      <c r="AY4" s="1119" t="s">
        <v>83</v>
      </c>
      <c r="AZ4" s="1121" t="s">
        <v>84</v>
      </c>
      <c r="BA4" s="1248" t="s">
        <v>266</v>
      </c>
    </row>
    <row r="5" spans="1:53" s="293" customFormat="1" ht="110.25" customHeight="1" thickBot="1">
      <c r="A5" s="1236"/>
      <c r="B5" s="1052"/>
      <c r="C5" s="1052"/>
      <c r="D5" s="25" t="s">
        <v>6</v>
      </c>
      <c r="E5" s="25" t="s">
        <v>7</v>
      </c>
      <c r="F5" s="25" t="s">
        <v>6</v>
      </c>
      <c r="G5" s="25" t="s">
        <v>96</v>
      </c>
      <c r="H5" s="25" t="s">
        <v>6</v>
      </c>
      <c r="I5" s="25" t="s">
        <v>7</v>
      </c>
      <c r="J5" s="25" t="s">
        <v>6</v>
      </c>
      <c r="K5" s="25" t="s">
        <v>96</v>
      </c>
      <c r="L5" s="25" t="s">
        <v>6</v>
      </c>
      <c r="M5" s="25" t="s">
        <v>7</v>
      </c>
      <c r="N5" s="25" t="s">
        <v>6</v>
      </c>
      <c r="O5" s="25" t="s">
        <v>96</v>
      </c>
      <c r="P5" s="25" t="s">
        <v>6</v>
      </c>
      <c r="Q5" s="25" t="s">
        <v>7</v>
      </c>
      <c r="R5" s="25" t="s">
        <v>6</v>
      </c>
      <c r="S5" s="25" t="s">
        <v>96</v>
      </c>
      <c r="T5" s="25" t="s">
        <v>6</v>
      </c>
      <c r="U5" s="25" t="s">
        <v>7</v>
      </c>
      <c r="V5" s="25" t="s">
        <v>6</v>
      </c>
      <c r="W5" s="25" t="s">
        <v>96</v>
      </c>
      <c r="X5" s="25" t="s">
        <v>6</v>
      </c>
      <c r="Y5" s="25" t="s">
        <v>7</v>
      </c>
      <c r="Z5" s="25" t="s">
        <v>6</v>
      </c>
      <c r="AA5" s="25" t="s">
        <v>96</v>
      </c>
      <c r="AB5" s="25" t="s">
        <v>6</v>
      </c>
      <c r="AC5" s="25" t="s">
        <v>7</v>
      </c>
      <c r="AD5" s="25" t="s">
        <v>6</v>
      </c>
      <c r="AE5" s="25" t="s">
        <v>96</v>
      </c>
      <c r="AF5" s="25" t="s">
        <v>6</v>
      </c>
      <c r="AG5" s="25" t="s">
        <v>7</v>
      </c>
      <c r="AH5" s="25" t="s">
        <v>6</v>
      </c>
      <c r="AI5" s="25" t="s">
        <v>96</v>
      </c>
      <c r="AJ5" s="25" t="s">
        <v>6</v>
      </c>
      <c r="AK5" s="25" t="s">
        <v>7</v>
      </c>
      <c r="AL5" s="25" t="s">
        <v>6</v>
      </c>
      <c r="AM5" s="25" t="s">
        <v>96</v>
      </c>
      <c r="AN5" s="25" t="s">
        <v>6</v>
      </c>
      <c r="AO5" s="25" t="s">
        <v>7</v>
      </c>
      <c r="AP5" s="25" t="s">
        <v>6</v>
      </c>
      <c r="AQ5" s="25" t="s">
        <v>96</v>
      </c>
      <c r="AR5" s="25" t="s">
        <v>6</v>
      </c>
      <c r="AS5" s="25" t="s">
        <v>7</v>
      </c>
      <c r="AT5" s="25" t="s">
        <v>6</v>
      </c>
      <c r="AU5" s="25" t="s">
        <v>96</v>
      </c>
      <c r="AV5" s="1118"/>
      <c r="AW5" s="1118"/>
      <c r="AX5" s="1118"/>
      <c r="AY5" s="1120"/>
      <c r="AZ5" s="1122"/>
      <c r="BA5" s="1231"/>
    </row>
    <row r="6" spans="1:53" s="672" customFormat="1" ht="32.25" customHeight="1">
      <c r="A6" s="202" t="s">
        <v>870</v>
      </c>
      <c r="B6" s="651" t="s">
        <v>1190</v>
      </c>
      <c r="C6" s="127" t="s">
        <v>675</v>
      </c>
      <c r="D6" s="33">
        <v>3</v>
      </c>
      <c r="E6" s="33">
        <v>0</v>
      </c>
      <c r="F6" s="33">
        <v>3</v>
      </c>
      <c r="G6" s="33">
        <v>0.75</v>
      </c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131">
        <v>420</v>
      </c>
      <c r="AK6" s="2" t="s">
        <v>1191</v>
      </c>
      <c r="AL6" s="91">
        <v>105</v>
      </c>
      <c r="AM6" s="131" t="s">
        <v>1192</v>
      </c>
      <c r="AN6" s="252"/>
      <c r="AO6" s="252"/>
      <c r="AP6" s="252"/>
      <c r="AQ6" s="252"/>
      <c r="AR6" s="252"/>
      <c r="AS6" s="252"/>
      <c r="AT6" s="252"/>
      <c r="AU6" s="252"/>
      <c r="AV6" s="148" t="s">
        <v>12</v>
      </c>
      <c r="AW6" s="148">
        <v>3</v>
      </c>
      <c r="AX6" s="91" t="s">
        <v>64</v>
      </c>
      <c r="AY6" s="91" t="s">
        <v>306</v>
      </c>
      <c r="AZ6" s="91" t="s">
        <v>1193</v>
      </c>
      <c r="BA6" s="160"/>
    </row>
    <row r="7" spans="1:53" s="672" customFormat="1" ht="47.25">
      <c r="A7" s="202" t="s">
        <v>195</v>
      </c>
      <c r="B7" s="151" t="s">
        <v>74</v>
      </c>
      <c r="C7" s="145" t="s">
        <v>92</v>
      </c>
      <c r="D7" s="33">
        <v>45</v>
      </c>
      <c r="E7" s="33">
        <v>0</v>
      </c>
      <c r="F7" s="33">
        <v>45</v>
      </c>
      <c r="G7" s="33">
        <v>6.66</v>
      </c>
      <c r="H7" s="145"/>
      <c r="I7" s="145"/>
      <c r="J7" s="145"/>
      <c r="K7" s="145"/>
      <c r="L7" s="131">
        <v>25</v>
      </c>
      <c r="M7" s="131">
        <v>25</v>
      </c>
      <c r="N7" s="131">
        <v>6</v>
      </c>
      <c r="O7" s="131">
        <v>1.79</v>
      </c>
      <c r="P7" s="33">
        <v>15</v>
      </c>
      <c r="Q7" s="33">
        <v>12</v>
      </c>
      <c r="R7" s="33">
        <f>4*3</f>
        <v>12</v>
      </c>
      <c r="S7" s="33">
        <v>1.76</v>
      </c>
      <c r="T7" s="643">
        <v>120</v>
      </c>
      <c r="U7" s="643">
        <v>106</v>
      </c>
      <c r="V7" s="645">
        <v>90</v>
      </c>
      <c r="W7" s="645">
        <v>12.27</v>
      </c>
      <c r="X7" s="131">
        <v>21</v>
      </c>
      <c r="Y7" s="131">
        <v>3</v>
      </c>
      <c r="Z7" s="2">
        <v>42</v>
      </c>
      <c r="AA7" s="131">
        <v>8.06</v>
      </c>
      <c r="AB7" s="145">
        <v>20</v>
      </c>
      <c r="AC7" s="131">
        <v>3</v>
      </c>
      <c r="AD7" s="145">
        <v>40</v>
      </c>
      <c r="AE7" s="145">
        <v>3.56</v>
      </c>
      <c r="AF7" s="131">
        <f>11*3</f>
        <v>33</v>
      </c>
      <c r="AG7" s="131">
        <v>21</v>
      </c>
      <c r="AH7" s="2">
        <v>33</v>
      </c>
      <c r="AI7" s="2">
        <v>5.7</v>
      </c>
      <c r="AJ7" s="2"/>
      <c r="AK7" s="2"/>
      <c r="AL7" s="2"/>
      <c r="AM7" s="2"/>
      <c r="AN7" s="2"/>
      <c r="AO7" s="2"/>
      <c r="AP7" s="2"/>
      <c r="AQ7" s="2"/>
      <c r="AR7" s="55">
        <v>10</v>
      </c>
      <c r="AS7" s="33">
        <v>0</v>
      </c>
      <c r="AT7" s="55">
        <v>10</v>
      </c>
      <c r="AU7" s="33">
        <v>3.3</v>
      </c>
      <c r="AV7" s="145" t="s">
        <v>99</v>
      </c>
      <c r="AW7" s="148">
        <v>3</v>
      </c>
      <c r="AX7" s="145" t="s">
        <v>67</v>
      </c>
      <c r="AY7" s="150" t="s">
        <v>306</v>
      </c>
      <c r="AZ7" s="145" t="s">
        <v>108</v>
      </c>
      <c r="BA7" s="755"/>
    </row>
    <row r="8" spans="1:53" s="672" customFormat="1" ht="15.75">
      <c r="A8" s="202" t="s">
        <v>867</v>
      </c>
      <c r="B8" s="651" t="s">
        <v>1194</v>
      </c>
      <c r="C8" s="127" t="s">
        <v>1195</v>
      </c>
      <c r="D8" s="33"/>
      <c r="E8" s="33"/>
      <c r="F8" s="33">
        <v>3</v>
      </c>
      <c r="G8" s="33">
        <v>0.75</v>
      </c>
      <c r="H8" s="145"/>
      <c r="I8" s="145"/>
      <c r="J8" s="145"/>
      <c r="K8" s="145"/>
      <c r="L8" s="131"/>
      <c r="M8" s="131"/>
      <c r="N8" s="131"/>
      <c r="O8" s="131"/>
      <c r="P8" s="168"/>
      <c r="Q8" s="168"/>
      <c r="R8" s="168"/>
      <c r="S8" s="168"/>
      <c r="T8" s="643"/>
      <c r="U8" s="643"/>
      <c r="V8" s="645"/>
      <c r="W8" s="645"/>
      <c r="X8" s="756"/>
      <c r="Y8" s="756"/>
      <c r="Z8" s="416"/>
      <c r="AA8" s="756"/>
      <c r="AB8" s="145"/>
      <c r="AC8" s="131"/>
      <c r="AD8" s="145"/>
      <c r="AE8" s="145"/>
      <c r="AF8" s="131"/>
      <c r="AG8" s="131"/>
      <c r="AH8" s="2"/>
      <c r="AI8" s="2"/>
      <c r="AJ8" s="2"/>
      <c r="AK8" s="2"/>
      <c r="AL8" s="2"/>
      <c r="AM8" s="2"/>
      <c r="AN8" s="2"/>
      <c r="AO8" s="2"/>
      <c r="AP8" s="2"/>
      <c r="AQ8" s="2"/>
      <c r="AR8" s="55"/>
      <c r="AS8" s="168"/>
      <c r="AT8" s="55"/>
      <c r="AU8" s="168"/>
      <c r="AV8" s="150" t="s">
        <v>12</v>
      </c>
      <c r="AW8" s="148">
        <v>3</v>
      </c>
      <c r="AX8" s="91" t="s">
        <v>64</v>
      </c>
      <c r="AY8" s="91" t="s">
        <v>306</v>
      </c>
      <c r="AZ8" s="91" t="s">
        <v>1193</v>
      </c>
      <c r="BA8" s="757"/>
    </row>
    <row r="9" spans="1:53" s="672" customFormat="1" ht="30">
      <c r="A9" s="294" t="s">
        <v>196</v>
      </c>
      <c r="B9" s="156" t="s">
        <v>66</v>
      </c>
      <c r="C9" s="1031" t="s">
        <v>22</v>
      </c>
      <c r="D9" s="33">
        <v>75</v>
      </c>
      <c r="E9" s="33">
        <v>10</v>
      </c>
      <c r="F9" s="33">
        <v>156</v>
      </c>
      <c r="G9" s="40">
        <v>23.09</v>
      </c>
      <c r="H9" s="145"/>
      <c r="I9" s="145"/>
      <c r="J9" s="145"/>
      <c r="K9" s="145"/>
      <c r="L9" s="131">
        <v>25</v>
      </c>
      <c r="M9" s="131">
        <v>0</v>
      </c>
      <c r="N9" s="131">
        <v>20</v>
      </c>
      <c r="O9" s="131">
        <v>1.43</v>
      </c>
      <c r="P9" s="168">
        <v>36</v>
      </c>
      <c r="Q9" s="168">
        <v>38</v>
      </c>
      <c r="R9" s="168">
        <f>20*3</f>
        <v>60</v>
      </c>
      <c r="S9" s="168">
        <v>9.92</v>
      </c>
      <c r="T9" s="643">
        <v>90</v>
      </c>
      <c r="U9" s="643">
        <v>134</v>
      </c>
      <c r="V9" s="643">
        <v>90</v>
      </c>
      <c r="W9" s="645">
        <v>8.19</v>
      </c>
      <c r="X9" s="148"/>
      <c r="Y9" s="148"/>
      <c r="Z9" s="148"/>
      <c r="AA9" s="148"/>
      <c r="AB9" s="55">
        <v>60</v>
      </c>
      <c r="AC9" s="33">
        <v>38</v>
      </c>
      <c r="AD9" s="55">
        <f>'[1]Family Planning'!I7*'[1]Family Planning'!J7</f>
        <v>40</v>
      </c>
      <c r="AE9" s="55">
        <v>14.13</v>
      </c>
      <c r="AF9" s="131">
        <f>11*3</f>
        <v>33</v>
      </c>
      <c r="AG9" s="131">
        <v>21</v>
      </c>
      <c r="AH9" s="2">
        <v>33</v>
      </c>
      <c r="AI9" s="2">
        <v>5.7</v>
      </c>
      <c r="AJ9" s="91">
        <v>414</v>
      </c>
      <c r="AK9" s="1198" t="s">
        <v>1191</v>
      </c>
      <c r="AL9" s="131">
        <v>360</v>
      </c>
      <c r="AM9" s="1250" t="s">
        <v>1196</v>
      </c>
      <c r="AN9" s="168">
        <v>75</v>
      </c>
      <c r="AO9" s="168">
        <v>12</v>
      </c>
      <c r="AP9" s="168">
        <v>9</v>
      </c>
      <c r="AQ9" s="235">
        <v>1</v>
      </c>
      <c r="AR9" s="145">
        <v>135</v>
      </c>
      <c r="AS9" s="168">
        <v>0</v>
      </c>
      <c r="AT9" s="145">
        <v>141</v>
      </c>
      <c r="AU9" s="168">
        <v>13.82</v>
      </c>
      <c r="AV9" s="150" t="s">
        <v>98</v>
      </c>
      <c r="AW9" s="148">
        <v>3</v>
      </c>
      <c r="AX9" s="150" t="s">
        <v>67</v>
      </c>
      <c r="AY9" s="150" t="s">
        <v>306</v>
      </c>
      <c r="AZ9" s="150" t="s">
        <v>102</v>
      </c>
      <c r="BA9" s="757"/>
    </row>
    <row r="10" spans="1:53" s="672" customFormat="1" ht="30">
      <c r="A10" s="295" t="s">
        <v>199</v>
      </c>
      <c r="B10" s="156" t="s">
        <v>68</v>
      </c>
      <c r="C10" s="1032"/>
      <c r="D10" s="149"/>
      <c r="E10" s="149"/>
      <c r="F10" s="149"/>
      <c r="G10" s="149"/>
      <c r="H10" s="145"/>
      <c r="I10" s="145"/>
      <c r="J10" s="145"/>
      <c r="K10" s="145"/>
      <c r="L10" s="131">
        <v>20</v>
      </c>
      <c r="M10" s="131">
        <v>0</v>
      </c>
      <c r="N10" s="131">
        <v>10</v>
      </c>
      <c r="O10" s="131">
        <v>0.82</v>
      </c>
      <c r="P10" s="131">
        <v>20</v>
      </c>
      <c r="Q10" s="131">
        <v>18</v>
      </c>
      <c r="R10" s="33">
        <f>9*4</f>
        <v>36</v>
      </c>
      <c r="S10" s="131">
        <v>2.45</v>
      </c>
      <c r="T10" s="643"/>
      <c r="U10" s="643"/>
      <c r="V10" s="643"/>
      <c r="W10" s="643"/>
      <c r="X10" s="131">
        <v>21</v>
      </c>
      <c r="Y10" s="131">
        <v>0</v>
      </c>
      <c r="Z10" s="2">
        <v>3</v>
      </c>
      <c r="AA10" s="131">
        <v>0.3</v>
      </c>
      <c r="AB10" s="145">
        <v>64</v>
      </c>
      <c r="AC10" s="145">
        <v>22</v>
      </c>
      <c r="AD10" s="145">
        <v>80</v>
      </c>
      <c r="AE10" s="145">
        <v>7</v>
      </c>
      <c r="AF10" s="131">
        <f>7*4</f>
        <v>28</v>
      </c>
      <c r="AG10" s="131">
        <v>0</v>
      </c>
      <c r="AH10" s="2">
        <v>28</v>
      </c>
      <c r="AI10" s="2">
        <v>2.66</v>
      </c>
      <c r="AJ10" s="144">
        <v>147</v>
      </c>
      <c r="AK10" s="1199"/>
      <c r="AL10" s="131">
        <v>66</v>
      </c>
      <c r="AM10" s="1251"/>
      <c r="AN10" s="2"/>
      <c r="AO10" s="2"/>
      <c r="AP10" s="2"/>
      <c r="AQ10" s="2"/>
      <c r="AR10" s="145">
        <v>72</v>
      </c>
      <c r="AS10" s="33">
        <v>0</v>
      </c>
      <c r="AT10" s="145">
        <v>27</v>
      </c>
      <c r="AU10" s="33">
        <v>2.93</v>
      </c>
      <c r="AV10" s="145" t="s">
        <v>69</v>
      </c>
      <c r="AW10" s="148">
        <v>4</v>
      </c>
      <c r="AX10" s="145" t="s">
        <v>70</v>
      </c>
      <c r="AY10" s="150" t="s">
        <v>306</v>
      </c>
      <c r="AZ10" s="145" t="s">
        <v>102</v>
      </c>
      <c r="BA10" s="755"/>
    </row>
    <row r="11" spans="1:53" s="672" customFormat="1" ht="15.75">
      <c r="A11" s="295" t="s">
        <v>200</v>
      </c>
      <c r="B11" s="151" t="s">
        <v>80</v>
      </c>
      <c r="C11" s="1032"/>
      <c r="D11" s="33">
        <v>240</v>
      </c>
      <c r="E11" s="33">
        <v>0</v>
      </c>
      <c r="F11" s="33">
        <v>120</v>
      </c>
      <c r="G11" s="33">
        <v>12.44</v>
      </c>
      <c r="H11" s="145"/>
      <c r="I11" s="145"/>
      <c r="J11" s="145"/>
      <c r="K11" s="145"/>
      <c r="L11" s="131">
        <v>204</v>
      </c>
      <c r="M11" s="131">
        <v>43</v>
      </c>
      <c r="N11" s="131">
        <v>100</v>
      </c>
      <c r="O11" s="131">
        <v>3.63</v>
      </c>
      <c r="P11" s="68">
        <v>600</v>
      </c>
      <c r="Q11" s="33">
        <v>601</v>
      </c>
      <c r="R11" s="33">
        <v>340</v>
      </c>
      <c r="S11" s="33"/>
      <c r="T11" s="643"/>
      <c r="U11" s="643"/>
      <c r="V11" s="643"/>
      <c r="W11" s="643"/>
      <c r="X11" s="759"/>
      <c r="Y11" s="759"/>
      <c r="Z11" s="144">
        <v>60</v>
      </c>
      <c r="AA11" s="759">
        <v>3.9</v>
      </c>
      <c r="AB11" s="145">
        <v>150</v>
      </c>
      <c r="AC11" s="33">
        <v>195</v>
      </c>
      <c r="AD11" s="145"/>
      <c r="AE11" s="145"/>
      <c r="AF11" s="759"/>
      <c r="AG11" s="759"/>
      <c r="AH11" s="759"/>
      <c r="AI11" s="759"/>
      <c r="AJ11" s="759">
        <v>4200</v>
      </c>
      <c r="AK11" s="1249"/>
      <c r="AL11" s="91">
        <v>2880</v>
      </c>
      <c r="AM11" s="1252"/>
      <c r="AN11" s="759"/>
      <c r="AO11" s="759"/>
      <c r="AP11" s="759"/>
      <c r="AQ11" s="759"/>
      <c r="AR11" s="145"/>
      <c r="AS11" s="145"/>
      <c r="AT11" s="145"/>
      <c r="AU11" s="145"/>
      <c r="AV11" s="145" t="s">
        <v>81</v>
      </c>
      <c r="AW11" s="148">
        <v>10</v>
      </c>
      <c r="AX11" s="145" t="s">
        <v>78</v>
      </c>
      <c r="AY11" s="150" t="s">
        <v>306</v>
      </c>
      <c r="AZ11" s="145" t="s">
        <v>103</v>
      </c>
      <c r="BA11" s="755"/>
    </row>
    <row r="12" spans="1:53" s="672" customFormat="1" ht="15.75">
      <c r="A12" s="295" t="s">
        <v>198</v>
      </c>
      <c r="B12" s="151" t="s">
        <v>197</v>
      </c>
      <c r="C12" s="1032"/>
      <c r="D12" s="67"/>
      <c r="E12" s="67"/>
      <c r="F12" s="68">
        <v>4</v>
      </c>
      <c r="G12" s="68">
        <v>0.75</v>
      </c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643"/>
      <c r="U12" s="643"/>
      <c r="V12" s="643"/>
      <c r="W12" s="643"/>
      <c r="X12" s="643"/>
      <c r="Y12" s="643"/>
      <c r="Z12" s="643"/>
      <c r="AA12" s="643"/>
      <c r="AB12" s="643"/>
      <c r="AC12" s="643"/>
      <c r="AD12" s="643"/>
      <c r="AE12" s="643"/>
      <c r="AF12" s="643"/>
      <c r="AG12" s="643"/>
      <c r="AH12" s="643"/>
      <c r="AI12" s="643"/>
      <c r="AJ12" s="643"/>
      <c r="AK12" s="643"/>
      <c r="AL12" s="643"/>
      <c r="AM12" s="643"/>
      <c r="AN12" s="643"/>
      <c r="AO12" s="643"/>
      <c r="AP12" s="643"/>
      <c r="AQ12" s="643"/>
      <c r="AR12" s="145"/>
      <c r="AS12" s="145"/>
      <c r="AT12" s="145"/>
      <c r="AU12" s="145"/>
      <c r="AV12" s="145" t="s">
        <v>71</v>
      </c>
      <c r="AW12" s="148">
        <v>4</v>
      </c>
      <c r="AX12" s="145" t="s">
        <v>72</v>
      </c>
      <c r="AY12" s="150" t="s">
        <v>306</v>
      </c>
      <c r="AZ12" s="145" t="s">
        <v>109</v>
      </c>
      <c r="BA12" s="755"/>
    </row>
    <row r="13" spans="1:53" s="672" customFormat="1" ht="15.75">
      <c r="A13" s="760" t="s">
        <v>199</v>
      </c>
      <c r="B13" s="761" t="s">
        <v>649</v>
      </c>
      <c r="C13" s="1033"/>
      <c r="D13" s="33">
        <v>40</v>
      </c>
      <c r="E13" s="33">
        <v>0</v>
      </c>
      <c r="F13" s="33">
        <v>40</v>
      </c>
      <c r="G13" s="33">
        <v>3.7</v>
      </c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643"/>
      <c r="U13" s="643"/>
      <c r="V13" s="643"/>
      <c r="W13" s="643"/>
      <c r="X13" s="643"/>
      <c r="Y13" s="643"/>
      <c r="Z13" s="643"/>
      <c r="AA13" s="643"/>
      <c r="AB13" s="643"/>
      <c r="AC13" s="643"/>
      <c r="AD13" s="643"/>
      <c r="AE13" s="643"/>
      <c r="AF13" s="643"/>
      <c r="AG13" s="643"/>
      <c r="AH13" s="643"/>
      <c r="AI13" s="643"/>
      <c r="AJ13" s="643"/>
      <c r="AK13" s="643"/>
      <c r="AL13" s="643"/>
      <c r="AM13" s="643"/>
      <c r="AN13" s="643"/>
      <c r="AO13" s="643"/>
      <c r="AP13" s="643"/>
      <c r="AQ13" s="643"/>
      <c r="AR13" s="145"/>
      <c r="AS13" s="145"/>
      <c r="AT13" s="145"/>
      <c r="AU13" s="145"/>
      <c r="AV13" s="2" t="s">
        <v>73</v>
      </c>
      <c r="AW13" s="148" t="s">
        <v>651</v>
      </c>
      <c r="AX13" s="2" t="s">
        <v>72</v>
      </c>
      <c r="AY13" s="2" t="s">
        <v>306</v>
      </c>
      <c r="AZ13" s="762" t="s">
        <v>650</v>
      </c>
      <c r="BA13" s="755"/>
    </row>
    <row r="14" spans="1:53" s="18" customFormat="1" ht="18" customHeight="1">
      <c r="A14" s="26"/>
      <c r="B14" s="1027" t="s">
        <v>30</v>
      </c>
      <c r="C14" s="1027"/>
      <c r="D14" s="153">
        <f>SUM(D6:D13)</f>
        <v>403</v>
      </c>
      <c r="E14" s="153">
        <f aca="true" t="shared" si="0" ref="E14:AU14">SUM(E6:E13)</f>
        <v>10</v>
      </c>
      <c r="F14" s="153">
        <f t="shared" si="0"/>
        <v>371</v>
      </c>
      <c r="G14" s="153">
        <f t="shared" si="0"/>
        <v>48.14</v>
      </c>
      <c r="H14" s="153">
        <f t="shared" si="0"/>
        <v>0</v>
      </c>
      <c r="I14" s="153">
        <f t="shared" si="0"/>
        <v>0</v>
      </c>
      <c r="J14" s="153">
        <f t="shared" si="0"/>
        <v>0</v>
      </c>
      <c r="K14" s="153">
        <f t="shared" si="0"/>
        <v>0</v>
      </c>
      <c r="L14" s="153">
        <f t="shared" si="0"/>
        <v>274</v>
      </c>
      <c r="M14" s="153">
        <f t="shared" si="0"/>
        <v>68</v>
      </c>
      <c r="N14" s="153">
        <f t="shared" si="0"/>
        <v>136</v>
      </c>
      <c r="O14" s="153">
        <f t="shared" si="0"/>
        <v>7.67</v>
      </c>
      <c r="P14" s="153">
        <f t="shared" si="0"/>
        <v>671</v>
      </c>
      <c r="Q14" s="153">
        <f t="shared" si="0"/>
        <v>669</v>
      </c>
      <c r="R14" s="153">
        <f t="shared" si="0"/>
        <v>448</v>
      </c>
      <c r="S14" s="153">
        <f t="shared" si="0"/>
        <v>14.129999999999999</v>
      </c>
      <c r="T14" s="153">
        <f t="shared" si="0"/>
        <v>210</v>
      </c>
      <c r="U14" s="153">
        <f t="shared" si="0"/>
        <v>240</v>
      </c>
      <c r="V14" s="153">
        <f t="shared" si="0"/>
        <v>180</v>
      </c>
      <c r="W14" s="153">
        <f t="shared" si="0"/>
        <v>20.46</v>
      </c>
      <c r="X14" s="153">
        <f t="shared" si="0"/>
        <v>42</v>
      </c>
      <c r="Y14" s="153">
        <f t="shared" si="0"/>
        <v>3</v>
      </c>
      <c r="Z14" s="153">
        <f t="shared" si="0"/>
        <v>105</v>
      </c>
      <c r="AA14" s="153">
        <f t="shared" si="0"/>
        <v>12.260000000000002</v>
      </c>
      <c r="AB14" s="153">
        <f t="shared" si="0"/>
        <v>294</v>
      </c>
      <c r="AC14" s="153">
        <f t="shared" si="0"/>
        <v>258</v>
      </c>
      <c r="AD14" s="153">
        <f t="shared" si="0"/>
        <v>160</v>
      </c>
      <c r="AE14" s="153">
        <f t="shared" si="0"/>
        <v>24.69</v>
      </c>
      <c r="AF14" s="153">
        <f t="shared" si="0"/>
        <v>94</v>
      </c>
      <c r="AG14" s="153">
        <f t="shared" si="0"/>
        <v>42</v>
      </c>
      <c r="AH14" s="153">
        <f t="shared" si="0"/>
        <v>94</v>
      </c>
      <c r="AI14" s="153">
        <f t="shared" si="0"/>
        <v>14.06</v>
      </c>
      <c r="AJ14" s="153">
        <f t="shared" si="0"/>
        <v>5181</v>
      </c>
      <c r="AK14" s="153">
        <f t="shared" si="0"/>
        <v>0</v>
      </c>
      <c r="AL14" s="153">
        <f t="shared" si="0"/>
        <v>3411</v>
      </c>
      <c r="AM14" s="153">
        <f t="shared" si="0"/>
        <v>0</v>
      </c>
      <c r="AN14" s="153">
        <f t="shared" si="0"/>
        <v>75</v>
      </c>
      <c r="AO14" s="153">
        <f t="shared" si="0"/>
        <v>12</v>
      </c>
      <c r="AP14" s="153">
        <f t="shared" si="0"/>
        <v>9</v>
      </c>
      <c r="AQ14" s="153">
        <f t="shared" si="0"/>
        <v>1</v>
      </c>
      <c r="AR14" s="153">
        <f t="shared" si="0"/>
        <v>217</v>
      </c>
      <c r="AS14" s="153">
        <f t="shared" si="0"/>
        <v>0</v>
      </c>
      <c r="AT14" s="153">
        <f t="shared" si="0"/>
        <v>178</v>
      </c>
      <c r="AU14" s="153">
        <f t="shared" si="0"/>
        <v>20.05</v>
      </c>
      <c r="AV14" s="242"/>
      <c r="AW14" s="242"/>
      <c r="AX14" s="242"/>
      <c r="AY14" s="242"/>
      <c r="AZ14" s="242"/>
      <c r="BA14" s="259"/>
    </row>
    <row r="15" spans="1:53" s="672" customFormat="1" ht="31.5">
      <c r="A15" s="179" t="s">
        <v>870</v>
      </c>
      <c r="B15" s="651" t="s">
        <v>1197</v>
      </c>
      <c r="C15" s="5" t="s">
        <v>675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91">
        <v>6</v>
      </c>
      <c r="AA15" s="91">
        <v>0.5</v>
      </c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5"/>
      <c r="AS15" s="5"/>
      <c r="AT15" s="5"/>
      <c r="AU15" s="5"/>
      <c r="AV15" s="145"/>
      <c r="AW15" s="145"/>
      <c r="AX15" s="2" t="s">
        <v>792</v>
      </c>
      <c r="AY15" s="91" t="s">
        <v>306</v>
      </c>
      <c r="AZ15" s="145" t="s">
        <v>306</v>
      </c>
      <c r="BA15" s="116"/>
    </row>
    <row r="16" spans="1:53" s="672" customFormat="1" ht="15.75">
      <c r="A16" s="202" t="s">
        <v>705</v>
      </c>
      <c r="B16" s="151" t="s">
        <v>80</v>
      </c>
      <c r="C16" s="145" t="s">
        <v>675</v>
      </c>
      <c r="D16" s="68">
        <v>10</v>
      </c>
      <c r="E16" s="68">
        <v>0</v>
      </c>
      <c r="F16" s="68">
        <v>10</v>
      </c>
      <c r="G16" s="68">
        <v>1</v>
      </c>
      <c r="H16" s="145"/>
      <c r="I16" s="145"/>
      <c r="J16" s="145"/>
      <c r="K16" s="145"/>
      <c r="L16" s="131">
        <v>25</v>
      </c>
      <c r="M16" s="131">
        <v>21</v>
      </c>
      <c r="N16" s="131">
        <v>20</v>
      </c>
      <c r="O16" s="131">
        <v>0.9</v>
      </c>
      <c r="P16" s="145"/>
      <c r="Q16" s="145"/>
      <c r="R16" s="145"/>
      <c r="S16" s="145"/>
      <c r="T16" s="145"/>
      <c r="U16" s="145"/>
      <c r="V16" s="145"/>
      <c r="W16" s="145"/>
      <c r="X16" s="91">
        <v>20</v>
      </c>
      <c r="Y16" s="91">
        <v>0</v>
      </c>
      <c r="Z16" s="91">
        <v>20</v>
      </c>
      <c r="AA16" s="91">
        <v>0.7</v>
      </c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68"/>
      <c r="AO16" s="68"/>
      <c r="AP16" s="68">
        <v>10</v>
      </c>
      <c r="AQ16" s="68">
        <v>1</v>
      </c>
      <c r="AR16" s="145"/>
      <c r="AS16" s="145"/>
      <c r="AT16" s="145"/>
      <c r="AU16" s="145"/>
      <c r="AV16" s="112" t="s">
        <v>333</v>
      </c>
      <c r="AW16" s="148">
        <v>10</v>
      </c>
      <c r="AX16" s="145" t="s">
        <v>276</v>
      </c>
      <c r="AY16" s="150" t="s">
        <v>306</v>
      </c>
      <c r="AZ16" s="145" t="s">
        <v>306</v>
      </c>
      <c r="BA16" s="755"/>
    </row>
    <row r="17" spans="1:53" s="672" customFormat="1" ht="15.75">
      <c r="A17" s="202" t="s">
        <v>206</v>
      </c>
      <c r="B17" s="151" t="s">
        <v>80</v>
      </c>
      <c r="C17" s="145" t="s">
        <v>205</v>
      </c>
      <c r="D17" s="33"/>
      <c r="E17" s="33"/>
      <c r="F17" s="33">
        <v>120</v>
      </c>
      <c r="G17" s="33">
        <v>12.44</v>
      </c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>
        <v>300</v>
      </c>
      <c r="AC17" s="33">
        <v>0</v>
      </c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 t="s">
        <v>81</v>
      </c>
      <c r="AW17" s="148">
        <v>10</v>
      </c>
      <c r="AX17" s="145" t="s">
        <v>78</v>
      </c>
      <c r="AY17" s="150" t="s">
        <v>306</v>
      </c>
      <c r="AZ17" s="145" t="s">
        <v>103</v>
      </c>
      <c r="BA17" s="755"/>
    </row>
    <row r="18" spans="1:53" s="672" customFormat="1" ht="60">
      <c r="A18" s="202" t="s">
        <v>207</v>
      </c>
      <c r="B18" s="151" t="s">
        <v>80</v>
      </c>
      <c r="C18" s="145" t="s">
        <v>33</v>
      </c>
      <c r="D18" s="33">
        <v>240</v>
      </c>
      <c r="E18" s="33">
        <v>0</v>
      </c>
      <c r="F18" s="33">
        <v>120</v>
      </c>
      <c r="G18" s="33">
        <v>12.44</v>
      </c>
      <c r="H18" s="91">
        <v>10</v>
      </c>
      <c r="I18" s="91">
        <v>0</v>
      </c>
      <c r="J18" s="91">
        <v>20</v>
      </c>
      <c r="K18" s="91">
        <v>0.24</v>
      </c>
      <c r="L18" s="131">
        <v>24</v>
      </c>
      <c r="M18" s="131">
        <v>0</v>
      </c>
      <c r="N18" s="131">
        <v>200</v>
      </c>
      <c r="O18" s="131">
        <v>6.4</v>
      </c>
      <c r="P18" s="145"/>
      <c r="Q18" s="145"/>
      <c r="R18" s="145"/>
      <c r="S18" s="145"/>
      <c r="T18" s="145"/>
      <c r="U18" s="145"/>
      <c r="V18" s="145"/>
      <c r="W18" s="145"/>
      <c r="X18" s="91"/>
      <c r="Y18" s="67">
        <v>40</v>
      </c>
      <c r="Z18" s="68">
        <v>10</v>
      </c>
      <c r="AA18" s="91">
        <v>0.3</v>
      </c>
      <c r="AB18" s="2">
        <v>400</v>
      </c>
      <c r="AC18" s="2">
        <v>360</v>
      </c>
      <c r="AD18" s="91"/>
      <c r="AE18" s="91"/>
      <c r="AF18" s="91"/>
      <c r="AG18" s="91"/>
      <c r="AH18" s="91"/>
      <c r="AI18" s="91"/>
      <c r="AJ18" s="91">
        <v>1240</v>
      </c>
      <c r="AK18" s="131" t="s">
        <v>1191</v>
      </c>
      <c r="AL18" s="91">
        <v>1497</v>
      </c>
      <c r="AM18" s="2" t="s">
        <v>1192</v>
      </c>
      <c r="AN18" s="91"/>
      <c r="AO18" s="91"/>
      <c r="AP18" s="91"/>
      <c r="AQ18" s="91"/>
      <c r="AR18" s="145"/>
      <c r="AS18" s="145"/>
      <c r="AT18" s="145"/>
      <c r="AU18" s="145"/>
      <c r="AV18" s="145" t="s">
        <v>81</v>
      </c>
      <c r="AW18" s="148">
        <v>10</v>
      </c>
      <c r="AX18" s="145" t="s">
        <v>78</v>
      </c>
      <c r="AY18" s="150" t="s">
        <v>306</v>
      </c>
      <c r="AZ18" s="145" t="s">
        <v>103</v>
      </c>
      <c r="BA18" s="755"/>
    </row>
    <row r="19" spans="1:53" s="672" customFormat="1" ht="60">
      <c r="A19" s="202" t="s">
        <v>204</v>
      </c>
      <c r="B19" s="151" t="s">
        <v>76</v>
      </c>
      <c r="C19" s="145" t="s">
        <v>39</v>
      </c>
      <c r="D19" s="33">
        <v>240</v>
      </c>
      <c r="E19" s="33">
        <v>0</v>
      </c>
      <c r="F19" s="33">
        <v>120</v>
      </c>
      <c r="G19" s="33">
        <v>12.44</v>
      </c>
      <c r="H19" s="145"/>
      <c r="I19" s="145"/>
      <c r="J19" s="145"/>
      <c r="K19" s="145"/>
      <c r="L19" s="131">
        <v>24</v>
      </c>
      <c r="M19" s="131">
        <v>0</v>
      </c>
      <c r="N19" s="131">
        <v>200</v>
      </c>
      <c r="O19" s="131">
        <v>6.4</v>
      </c>
      <c r="P19" s="145"/>
      <c r="Q19" s="145"/>
      <c r="R19" s="145"/>
      <c r="S19" s="145"/>
      <c r="T19" s="643">
        <v>2000</v>
      </c>
      <c r="U19" s="643">
        <v>70</v>
      </c>
      <c r="V19" s="643">
        <v>1000</v>
      </c>
      <c r="W19" s="645">
        <v>53.03</v>
      </c>
      <c r="X19" s="131">
        <v>280</v>
      </c>
      <c r="Y19" s="2">
        <v>0</v>
      </c>
      <c r="Z19" s="2">
        <v>140</v>
      </c>
      <c r="AA19" s="131">
        <v>8.67</v>
      </c>
      <c r="AB19" s="145">
        <v>400</v>
      </c>
      <c r="AC19" s="145">
        <v>612</v>
      </c>
      <c r="AD19" s="131"/>
      <c r="AE19" s="131"/>
      <c r="AF19" s="131">
        <f>24*10</f>
        <v>240</v>
      </c>
      <c r="AG19" s="131">
        <v>189</v>
      </c>
      <c r="AH19" s="2">
        <v>240</v>
      </c>
      <c r="AI19" s="2">
        <v>16.7</v>
      </c>
      <c r="AJ19" s="91">
        <v>1240</v>
      </c>
      <c r="AK19" s="2" t="s">
        <v>1191</v>
      </c>
      <c r="AL19" s="91">
        <v>1588</v>
      </c>
      <c r="AM19" s="2" t="s">
        <v>1192</v>
      </c>
      <c r="AN19" s="2"/>
      <c r="AO19" s="2"/>
      <c r="AP19" s="2"/>
      <c r="AQ19" s="2"/>
      <c r="AR19" s="55">
        <v>23.7</v>
      </c>
      <c r="AS19" s="101">
        <v>0</v>
      </c>
      <c r="AT19" s="55">
        <v>1500</v>
      </c>
      <c r="AU19" s="145">
        <v>63.48</v>
      </c>
      <c r="AV19" s="145" t="s">
        <v>73</v>
      </c>
      <c r="AW19" s="148">
        <v>10</v>
      </c>
      <c r="AX19" s="42" t="s">
        <v>77</v>
      </c>
      <c r="AY19" s="150" t="s">
        <v>306</v>
      </c>
      <c r="AZ19" s="145" t="s">
        <v>103</v>
      </c>
      <c r="BA19" s="116"/>
    </row>
    <row r="20" spans="1:53" s="672" customFormat="1" ht="15.75">
      <c r="A20" s="202" t="s">
        <v>706</v>
      </c>
      <c r="B20" s="151" t="s">
        <v>79</v>
      </c>
      <c r="C20" s="145" t="s">
        <v>675</v>
      </c>
      <c r="D20" s="33">
        <v>10</v>
      </c>
      <c r="E20" s="33">
        <v>0</v>
      </c>
      <c r="F20" s="33">
        <v>10</v>
      </c>
      <c r="G20" s="33">
        <v>1</v>
      </c>
      <c r="H20" s="145"/>
      <c r="I20" s="145"/>
      <c r="J20" s="145"/>
      <c r="K20" s="145"/>
      <c r="L20" s="131">
        <v>30</v>
      </c>
      <c r="M20" s="131">
        <v>48</v>
      </c>
      <c r="N20" s="131">
        <v>40</v>
      </c>
      <c r="O20" s="131">
        <v>2.8</v>
      </c>
      <c r="P20" s="145"/>
      <c r="Q20" s="145"/>
      <c r="R20" s="145"/>
      <c r="S20" s="145"/>
      <c r="T20" s="145"/>
      <c r="U20" s="145"/>
      <c r="V20" s="145"/>
      <c r="W20" s="145"/>
      <c r="X20" s="131"/>
      <c r="Y20" s="131"/>
      <c r="Z20" s="91">
        <v>10</v>
      </c>
      <c r="AA20" s="131">
        <v>0.79</v>
      </c>
      <c r="AB20" s="145"/>
      <c r="AC20" s="131"/>
      <c r="AD20" s="145">
        <v>70</v>
      </c>
      <c r="AE20" s="145">
        <v>10.5</v>
      </c>
      <c r="AF20" s="131">
        <v>20</v>
      </c>
      <c r="AG20" s="131">
        <v>17</v>
      </c>
      <c r="AH20" s="131"/>
      <c r="AI20" s="131"/>
      <c r="AJ20" s="131"/>
      <c r="AK20" s="131"/>
      <c r="AL20" s="131"/>
      <c r="AM20" s="131"/>
      <c r="AN20" s="101"/>
      <c r="AO20" s="101"/>
      <c r="AP20" s="101">
        <v>20</v>
      </c>
      <c r="AQ20" s="101">
        <v>1.6</v>
      </c>
      <c r="AR20" s="55">
        <v>60</v>
      </c>
      <c r="AS20" s="33">
        <v>0</v>
      </c>
      <c r="AT20" s="55">
        <v>60</v>
      </c>
      <c r="AU20" s="33">
        <v>4.75</v>
      </c>
      <c r="AV20" s="112" t="s">
        <v>333</v>
      </c>
      <c r="AW20" s="148">
        <v>10</v>
      </c>
      <c r="AX20" s="145" t="s">
        <v>276</v>
      </c>
      <c r="AY20" s="150" t="s">
        <v>306</v>
      </c>
      <c r="AZ20" s="145" t="s">
        <v>306</v>
      </c>
      <c r="BA20" s="116"/>
    </row>
    <row r="21" spans="1:53" s="672" customFormat="1" ht="55.5" customHeight="1">
      <c r="A21" s="202" t="s">
        <v>201</v>
      </c>
      <c r="B21" s="151" t="s">
        <v>79</v>
      </c>
      <c r="C21" s="145" t="s">
        <v>50</v>
      </c>
      <c r="D21" s="33">
        <v>1872</v>
      </c>
      <c r="E21" s="33">
        <v>0</v>
      </c>
      <c r="F21" s="33">
        <v>520</v>
      </c>
      <c r="G21" s="33">
        <v>32.43</v>
      </c>
      <c r="H21" s="131">
        <v>10</v>
      </c>
      <c r="I21" s="131">
        <v>0</v>
      </c>
      <c r="J21" s="131">
        <v>15</v>
      </c>
      <c r="K21" s="418">
        <v>0.6</v>
      </c>
      <c r="L21" s="131">
        <v>5</v>
      </c>
      <c r="M21" s="131">
        <v>5</v>
      </c>
      <c r="N21" s="131">
        <v>100</v>
      </c>
      <c r="O21" s="131">
        <v>3.5</v>
      </c>
      <c r="P21" s="131">
        <v>25</v>
      </c>
      <c r="Q21" s="131">
        <v>18</v>
      </c>
      <c r="R21" s="131">
        <v>75</v>
      </c>
      <c r="S21" s="131">
        <v>4.94</v>
      </c>
      <c r="T21" s="643">
        <v>750</v>
      </c>
      <c r="U21" s="643">
        <v>1796</v>
      </c>
      <c r="V21" s="645">
        <v>750</v>
      </c>
      <c r="W21" s="645">
        <v>54.21</v>
      </c>
      <c r="X21" s="145"/>
      <c r="Y21" s="145"/>
      <c r="Z21" s="145"/>
      <c r="AA21" s="145"/>
      <c r="AB21" s="145">
        <v>400</v>
      </c>
      <c r="AC21" s="131">
        <v>303</v>
      </c>
      <c r="AD21" s="145">
        <v>510</v>
      </c>
      <c r="AE21" s="145">
        <v>49.9</v>
      </c>
      <c r="AF21" s="131">
        <f>6*10</f>
        <v>60</v>
      </c>
      <c r="AG21" s="131"/>
      <c r="AH21" s="2">
        <v>60</v>
      </c>
      <c r="AI21" s="2"/>
      <c r="AJ21" s="2"/>
      <c r="AK21" s="2"/>
      <c r="AL21" s="1256" t="s">
        <v>1198</v>
      </c>
      <c r="AM21" s="1257"/>
      <c r="AN21" s="33">
        <v>120</v>
      </c>
      <c r="AO21" s="33">
        <v>2</v>
      </c>
      <c r="AP21" s="33">
        <v>100</v>
      </c>
      <c r="AQ21" s="33">
        <v>7</v>
      </c>
      <c r="AR21" s="55">
        <v>50</v>
      </c>
      <c r="AS21" s="33">
        <v>0</v>
      </c>
      <c r="AT21" s="55">
        <v>680</v>
      </c>
      <c r="AU21" s="33">
        <v>31.14</v>
      </c>
      <c r="AV21" s="145" t="s">
        <v>12</v>
      </c>
      <c r="AW21" s="148">
        <v>10</v>
      </c>
      <c r="AX21" s="42" t="s">
        <v>202</v>
      </c>
      <c r="AY21" s="150" t="s">
        <v>306</v>
      </c>
      <c r="AZ21" s="145" t="s">
        <v>327</v>
      </c>
      <c r="BA21" s="116"/>
    </row>
    <row r="22" spans="1:53" s="672" customFormat="1" ht="15.75">
      <c r="A22" s="202" t="s">
        <v>707</v>
      </c>
      <c r="B22" s="151" t="s">
        <v>79</v>
      </c>
      <c r="C22" s="145" t="s">
        <v>708</v>
      </c>
      <c r="D22" s="33"/>
      <c r="E22" s="33"/>
      <c r="F22" s="33">
        <v>520</v>
      </c>
      <c r="G22" s="33">
        <v>32.43</v>
      </c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>
        <v>150</v>
      </c>
      <c r="AC22" s="33">
        <v>0</v>
      </c>
      <c r="AD22" s="145">
        <v>150</v>
      </c>
      <c r="AE22" s="145">
        <v>7.06</v>
      </c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 t="s">
        <v>333</v>
      </c>
      <c r="AW22" s="148">
        <v>10</v>
      </c>
      <c r="AX22" s="112" t="s">
        <v>1199</v>
      </c>
      <c r="AY22" s="150" t="s">
        <v>306</v>
      </c>
      <c r="AZ22" s="145" t="s">
        <v>306</v>
      </c>
      <c r="BA22" s="116"/>
    </row>
    <row r="23" spans="1:53" s="652" customFormat="1" ht="53.25" customHeight="1">
      <c r="A23" s="152" t="s">
        <v>576</v>
      </c>
      <c r="B23" s="151" t="s">
        <v>79</v>
      </c>
      <c r="C23" s="145" t="s">
        <v>577</v>
      </c>
      <c r="D23" s="33"/>
      <c r="E23" s="33"/>
      <c r="F23" s="33">
        <v>520</v>
      </c>
      <c r="G23" s="33">
        <v>32.43</v>
      </c>
      <c r="H23" s="91">
        <v>10</v>
      </c>
      <c r="I23" s="91">
        <v>0</v>
      </c>
      <c r="J23" s="91">
        <v>15</v>
      </c>
      <c r="K23" s="91">
        <v>0.45</v>
      </c>
      <c r="L23" s="131">
        <v>42</v>
      </c>
      <c r="M23" s="131">
        <v>0</v>
      </c>
      <c r="N23" s="131">
        <v>500</v>
      </c>
      <c r="O23" s="131">
        <v>17.5</v>
      </c>
      <c r="P23" s="68">
        <v>75</v>
      </c>
      <c r="Q23" s="33">
        <v>321</v>
      </c>
      <c r="R23" s="98" t="s">
        <v>1009</v>
      </c>
      <c r="S23" s="33">
        <v>31.2</v>
      </c>
      <c r="T23" s="643">
        <v>750</v>
      </c>
      <c r="U23" s="643">
        <v>2393</v>
      </c>
      <c r="V23" s="643">
        <v>1000</v>
      </c>
      <c r="W23" s="645">
        <v>53.03</v>
      </c>
      <c r="X23" s="643"/>
      <c r="Y23" s="643"/>
      <c r="Z23" s="645"/>
      <c r="AA23" s="645"/>
      <c r="AB23" s="2">
        <v>2500</v>
      </c>
      <c r="AC23" s="131">
        <v>827</v>
      </c>
      <c r="AD23" s="2">
        <v>800</v>
      </c>
      <c r="AE23" s="2">
        <v>30.76</v>
      </c>
      <c r="AF23" s="131">
        <f>24*10</f>
        <v>240</v>
      </c>
      <c r="AG23" s="131">
        <v>0</v>
      </c>
      <c r="AH23" s="2">
        <v>240</v>
      </c>
      <c r="AI23" s="145"/>
      <c r="AJ23" s="763"/>
      <c r="AK23" s="763"/>
      <c r="AL23" s="1256" t="s">
        <v>1198</v>
      </c>
      <c r="AM23" s="1257"/>
      <c r="AN23" s="33">
        <v>120</v>
      </c>
      <c r="AO23" s="33"/>
      <c r="AP23" s="33">
        <v>150</v>
      </c>
      <c r="AQ23" s="33">
        <v>10.5</v>
      </c>
      <c r="AR23" s="11">
        <v>400</v>
      </c>
      <c r="AS23" s="33">
        <v>0</v>
      </c>
      <c r="AT23" s="11">
        <v>1260</v>
      </c>
      <c r="AU23" s="764">
        <v>42.59</v>
      </c>
      <c r="AV23" s="145" t="s">
        <v>71</v>
      </c>
      <c r="AW23" s="148">
        <v>10</v>
      </c>
      <c r="AX23" s="145" t="s">
        <v>78</v>
      </c>
      <c r="AY23" s="150" t="s">
        <v>306</v>
      </c>
      <c r="AZ23" s="145" t="s">
        <v>104</v>
      </c>
      <c r="BA23" s="765"/>
    </row>
    <row r="24" spans="1:53" s="18" customFormat="1" ht="15.75">
      <c r="A24" s="26"/>
      <c r="B24" s="1027" t="s">
        <v>30</v>
      </c>
      <c r="C24" s="1027"/>
      <c r="D24" s="153">
        <f>SUM(D15:D23)</f>
        <v>2372</v>
      </c>
      <c r="E24" s="153">
        <f aca="true" t="shared" si="1" ref="E24:AU24">SUM(E15:E23)</f>
        <v>0</v>
      </c>
      <c r="F24" s="153">
        <f t="shared" si="1"/>
        <v>1940</v>
      </c>
      <c r="G24" s="153">
        <f t="shared" si="1"/>
        <v>136.61</v>
      </c>
      <c r="H24" s="153">
        <f t="shared" si="1"/>
        <v>30</v>
      </c>
      <c r="I24" s="153">
        <f t="shared" si="1"/>
        <v>0</v>
      </c>
      <c r="J24" s="153">
        <f t="shared" si="1"/>
        <v>50</v>
      </c>
      <c r="K24" s="153">
        <f t="shared" si="1"/>
        <v>1.29</v>
      </c>
      <c r="L24" s="153">
        <f t="shared" si="1"/>
        <v>150</v>
      </c>
      <c r="M24" s="153">
        <f t="shared" si="1"/>
        <v>74</v>
      </c>
      <c r="N24" s="153">
        <f t="shared" si="1"/>
        <v>1060</v>
      </c>
      <c r="O24" s="153">
        <f t="shared" si="1"/>
        <v>37.5</v>
      </c>
      <c r="P24" s="153">
        <f t="shared" si="1"/>
        <v>100</v>
      </c>
      <c r="Q24" s="153">
        <f t="shared" si="1"/>
        <v>339</v>
      </c>
      <c r="R24" s="153">
        <f t="shared" si="1"/>
        <v>75</v>
      </c>
      <c r="S24" s="153">
        <f t="shared" si="1"/>
        <v>36.14</v>
      </c>
      <c r="T24" s="153">
        <f t="shared" si="1"/>
        <v>3500</v>
      </c>
      <c r="U24" s="153">
        <f t="shared" si="1"/>
        <v>4259</v>
      </c>
      <c r="V24" s="153">
        <f t="shared" si="1"/>
        <v>2750</v>
      </c>
      <c r="W24" s="153">
        <f t="shared" si="1"/>
        <v>160.27</v>
      </c>
      <c r="X24" s="153">
        <f t="shared" si="1"/>
        <v>300</v>
      </c>
      <c r="Y24" s="153">
        <f t="shared" si="1"/>
        <v>40</v>
      </c>
      <c r="Z24" s="153">
        <f t="shared" si="1"/>
        <v>186</v>
      </c>
      <c r="AA24" s="153">
        <f t="shared" si="1"/>
        <v>10.96</v>
      </c>
      <c r="AB24" s="153">
        <f t="shared" si="1"/>
        <v>4150</v>
      </c>
      <c r="AC24" s="153">
        <f t="shared" si="1"/>
        <v>2102</v>
      </c>
      <c r="AD24" s="153">
        <f t="shared" si="1"/>
        <v>1530</v>
      </c>
      <c r="AE24" s="153">
        <f t="shared" si="1"/>
        <v>98.22</v>
      </c>
      <c r="AF24" s="153">
        <f t="shared" si="1"/>
        <v>560</v>
      </c>
      <c r="AG24" s="153">
        <f t="shared" si="1"/>
        <v>206</v>
      </c>
      <c r="AH24" s="153">
        <f t="shared" si="1"/>
        <v>540</v>
      </c>
      <c r="AI24" s="153">
        <f t="shared" si="1"/>
        <v>16.7</v>
      </c>
      <c r="AJ24" s="153">
        <f t="shared" si="1"/>
        <v>2480</v>
      </c>
      <c r="AK24" s="153">
        <f t="shared" si="1"/>
        <v>0</v>
      </c>
      <c r="AL24" s="153">
        <f t="shared" si="1"/>
        <v>3085</v>
      </c>
      <c r="AM24" s="153">
        <f t="shared" si="1"/>
        <v>0</v>
      </c>
      <c r="AN24" s="153">
        <f t="shared" si="1"/>
        <v>240</v>
      </c>
      <c r="AO24" s="153">
        <f t="shared" si="1"/>
        <v>2</v>
      </c>
      <c r="AP24" s="153">
        <f t="shared" si="1"/>
        <v>280</v>
      </c>
      <c r="AQ24" s="153">
        <f t="shared" si="1"/>
        <v>20.1</v>
      </c>
      <c r="AR24" s="153">
        <f t="shared" si="1"/>
        <v>533.7</v>
      </c>
      <c r="AS24" s="153">
        <f t="shared" si="1"/>
        <v>0</v>
      </c>
      <c r="AT24" s="153">
        <f t="shared" si="1"/>
        <v>3500</v>
      </c>
      <c r="AU24" s="153">
        <f t="shared" si="1"/>
        <v>141.95999999999998</v>
      </c>
      <c r="AV24" s="242"/>
      <c r="AW24" s="242"/>
      <c r="AX24" s="242"/>
      <c r="AY24" s="242"/>
      <c r="AZ24" s="242"/>
      <c r="BA24" s="259"/>
    </row>
    <row r="25" spans="1:53" s="652" customFormat="1" ht="31.5">
      <c r="A25" s="1200" t="s">
        <v>709</v>
      </c>
      <c r="B25" s="152" t="s">
        <v>710</v>
      </c>
      <c r="C25" s="145" t="s">
        <v>711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645"/>
      <c r="V25" s="645"/>
      <c r="W25" s="645"/>
      <c r="X25" s="643">
        <v>560</v>
      </c>
      <c r="Y25" s="643">
        <v>15</v>
      </c>
      <c r="Z25" s="643">
        <v>140</v>
      </c>
      <c r="AA25" s="645">
        <v>10.5</v>
      </c>
      <c r="AB25" s="645"/>
      <c r="AC25" s="645"/>
      <c r="AD25" s="645"/>
      <c r="AE25" s="645"/>
      <c r="AF25" s="645"/>
      <c r="AG25" s="645"/>
      <c r="AH25" s="645"/>
      <c r="AI25" s="645"/>
      <c r="AJ25" s="645"/>
      <c r="AK25" s="645"/>
      <c r="AL25" s="645"/>
      <c r="AM25" s="645"/>
      <c r="AN25" s="645"/>
      <c r="AO25" s="645"/>
      <c r="AP25" s="645"/>
      <c r="AQ25" s="645"/>
      <c r="AR25" s="33"/>
      <c r="AS25" s="33"/>
      <c r="AT25" s="33"/>
      <c r="AU25" s="33"/>
      <c r="AV25" s="145" t="s">
        <v>15</v>
      </c>
      <c r="AW25" s="148"/>
      <c r="AX25" s="112" t="s">
        <v>1199</v>
      </c>
      <c r="AY25" s="150" t="s">
        <v>306</v>
      </c>
      <c r="AZ25" s="145" t="s">
        <v>306</v>
      </c>
      <c r="BA25" s="765"/>
    </row>
    <row r="26" spans="1:53" s="652" customFormat="1" ht="15">
      <c r="A26" s="1201"/>
      <c r="B26" s="1253" t="s">
        <v>1200</v>
      </c>
      <c r="C26" s="145" t="s">
        <v>22</v>
      </c>
      <c r="D26" s="145"/>
      <c r="E26" s="145"/>
      <c r="F26" s="145"/>
      <c r="G26" s="145"/>
      <c r="H26" s="145"/>
      <c r="I26" s="145"/>
      <c r="J26" s="145"/>
      <c r="K26" s="145"/>
      <c r="L26" s="1250">
        <v>1200</v>
      </c>
      <c r="M26" s="1250">
        <v>1008</v>
      </c>
      <c r="N26" s="1250">
        <v>625</v>
      </c>
      <c r="O26" s="1250">
        <v>2.75</v>
      </c>
      <c r="P26" s="145"/>
      <c r="Q26" s="145"/>
      <c r="R26" s="145"/>
      <c r="S26" s="145"/>
      <c r="T26" s="145"/>
      <c r="U26" s="645"/>
      <c r="V26" s="645"/>
      <c r="W26" s="645"/>
      <c r="X26" s="643"/>
      <c r="Y26" s="643"/>
      <c r="Z26" s="643"/>
      <c r="AA26" s="645"/>
      <c r="AB26" s="1128">
        <v>3390</v>
      </c>
      <c r="AC26" s="33">
        <v>189</v>
      </c>
      <c r="AD26" s="1128">
        <v>1440</v>
      </c>
      <c r="AE26" s="1202">
        <v>15.36</v>
      </c>
      <c r="AF26" s="645"/>
      <c r="AG26" s="645"/>
      <c r="AH26" s="645"/>
      <c r="AI26" s="645"/>
      <c r="AJ26" s="645"/>
      <c r="AK26" s="645"/>
      <c r="AL26" s="645"/>
      <c r="AM26" s="645"/>
      <c r="AN26" s="645"/>
      <c r="AO26" s="645"/>
      <c r="AP26" s="645"/>
      <c r="AQ26" s="645"/>
      <c r="AR26" s="33"/>
      <c r="AS26" s="33"/>
      <c r="AT26" s="33"/>
      <c r="AU26" s="33"/>
      <c r="AV26" s="1031" t="s">
        <v>35</v>
      </c>
      <c r="AW26" s="148">
        <v>30</v>
      </c>
      <c r="AX26" s="42" t="s">
        <v>1201</v>
      </c>
      <c r="AY26" s="42" t="s">
        <v>306</v>
      </c>
      <c r="AZ26" s="145" t="s">
        <v>1202</v>
      </c>
      <c r="BA26" s="765"/>
    </row>
    <row r="27" spans="1:53" s="652" customFormat="1" ht="15">
      <c r="A27" s="1201"/>
      <c r="B27" s="1253"/>
      <c r="C27" s="145" t="s">
        <v>33</v>
      </c>
      <c r="D27" s="145"/>
      <c r="E27" s="145"/>
      <c r="F27" s="145"/>
      <c r="G27" s="145"/>
      <c r="H27" s="145"/>
      <c r="I27" s="145"/>
      <c r="J27" s="145"/>
      <c r="K27" s="145"/>
      <c r="L27" s="1251"/>
      <c r="M27" s="1251"/>
      <c r="N27" s="1251"/>
      <c r="O27" s="1251"/>
      <c r="P27" s="145"/>
      <c r="Q27" s="145"/>
      <c r="R27" s="145"/>
      <c r="S27" s="145"/>
      <c r="T27" s="145"/>
      <c r="U27" s="645"/>
      <c r="V27" s="645"/>
      <c r="W27" s="645"/>
      <c r="X27" s="643"/>
      <c r="Y27" s="643"/>
      <c r="Z27" s="643"/>
      <c r="AA27" s="645"/>
      <c r="AB27" s="1128"/>
      <c r="AC27" s="33">
        <v>381</v>
      </c>
      <c r="AD27" s="1128"/>
      <c r="AE27" s="1203"/>
      <c r="AF27" s="645"/>
      <c r="AG27" s="645"/>
      <c r="AH27" s="645"/>
      <c r="AI27" s="645"/>
      <c r="AJ27" s="645"/>
      <c r="AK27" s="645"/>
      <c r="AL27" s="645"/>
      <c r="AM27" s="645"/>
      <c r="AN27" s="645"/>
      <c r="AO27" s="645"/>
      <c r="AP27" s="645"/>
      <c r="AQ27" s="645"/>
      <c r="AR27" s="33"/>
      <c r="AS27" s="33"/>
      <c r="AT27" s="33"/>
      <c r="AU27" s="33"/>
      <c r="AV27" s="1032"/>
      <c r="AW27" s="148"/>
      <c r="AX27" s="42" t="s">
        <v>1203</v>
      </c>
      <c r="AY27" s="42" t="s">
        <v>306</v>
      </c>
      <c r="AZ27" s="145" t="s">
        <v>1204</v>
      </c>
      <c r="BA27" s="765"/>
    </row>
    <row r="28" spans="1:53" s="652" customFormat="1" ht="15">
      <c r="A28" s="1117"/>
      <c r="B28" s="1253"/>
      <c r="C28" s="145" t="s">
        <v>39</v>
      </c>
      <c r="D28" s="145"/>
      <c r="E28" s="145"/>
      <c r="F28" s="145"/>
      <c r="G28" s="145"/>
      <c r="H28" s="145"/>
      <c r="I28" s="145"/>
      <c r="J28" s="145"/>
      <c r="K28" s="145"/>
      <c r="L28" s="1252"/>
      <c r="M28" s="1252"/>
      <c r="N28" s="1252"/>
      <c r="O28" s="1252"/>
      <c r="P28" s="145"/>
      <c r="Q28" s="145"/>
      <c r="R28" s="145"/>
      <c r="S28" s="145"/>
      <c r="T28" s="145"/>
      <c r="U28" s="645"/>
      <c r="V28" s="645"/>
      <c r="W28" s="645"/>
      <c r="X28" s="643"/>
      <c r="Y28" s="643"/>
      <c r="Z28" s="643"/>
      <c r="AA28" s="645"/>
      <c r="AB28" s="1128"/>
      <c r="AC28" s="33">
        <v>161</v>
      </c>
      <c r="AD28" s="1128"/>
      <c r="AE28" s="1254"/>
      <c r="AF28" s="645"/>
      <c r="AG28" s="645"/>
      <c r="AH28" s="645"/>
      <c r="AI28" s="645"/>
      <c r="AJ28" s="645"/>
      <c r="AK28" s="645"/>
      <c r="AL28" s="645"/>
      <c r="AM28" s="645"/>
      <c r="AN28" s="645"/>
      <c r="AO28" s="645"/>
      <c r="AP28" s="645"/>
      <c r="AQ28" s="645"/>
      <c r="AR28" s="33"/>
      <c r="AS28" s="33"/>
      <c r="AT28" s="33"/>
      <c r="AU28" s="33"/>
      <c r="AV28" s="1033"/>
      <c r="AW28" s="148"/>
      <c r="AX28" s="42" t="s">
        <v>1203</v>
      </c>
      <c r="AY28" s="42" t="s">
        <v>306</v>
      </c>
      <c r="AZ28" s="145" t="s">
        <v>1204</v>
      </c>
      <c r="BA28" s="765"/>
    </row>
    <row r="29" spans="1:53" ht="50.25" customHeight="1">
      <c r="A29" s="152" t="s">
        <v>1205</v>
      </c>
      <c r="B29" s="152" t="s">
        <v>1206</v>
      </c>
      <c r="C29" s="145" t="s">
        <v>1207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645"/>
      <c r="V29" s="645"/>
      <c r="W29" s="645"/>
      <c r="X29" s="645"/>
      <c r="Y29" s="645"/>
      <c r="Z29" s="645"/>
      <c r="AA29" s="645"/>
      <c r="AB29" s="645"/>
      <c r="AC29" s="645"/>
      <c r="AD29" s="645"/>
      <c r="AE29" s="645"/>
      <c r="AF29" s="645"/>
      <c r="AG29" s="645"/>
      <c r="AH29" s="645"/>
      <c r="AI29" s="645"/>
      <c r="AJ29" s="645"/>
      <c r="AK29" s="645"/>
      <c r="AL29" s="645"/>
      <c r="AM29" s="645"/>
      <c r="AN29" s="645"/>
      <c r="AO29" s="645"/>
      <c r="AP29" s="645"/>
      <c r="AQ29" s="645"/>
      <c r="AR29" s="145">
        <v>60</v>
      </c>
      <c r="AS29" s="33">
        <v>0</v>
      </c>
      <c r="AT29" s="145">
        <v>60</v>
      </c>
      <c r="AU29" s="766">
        <v>4.47</v>
      </c>
      <c r="AV29" s="33" t="s">
        <v>1208</v>
      </c>
      <c r="AW29" s="148">
        <v>20</v>
      </c>
      <c r="AX29" s="145" t="s">
        <v>13</v>
      </c>
      <c r="AY29" s="145" t="s">
        <v>918</v>
      </c>
      <c r="AZ29" s="145" t="s">
        <v>918</v>
      </c>
      <c r="BA29" s="116"/>
    </row>
    <row r="30" spans="1:53" s="672" customFormat="1" ht="63">
      <c r="A30" s="641" t="s">
        <v>899</v>
      </c>
      <c r="B30" s="96" t="s">
        <v>1209</v>
      </c>
      <c r="C30" s="2" t="s">
        <v>1210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45"/>
      <c r="U30" s="645"/>
      <c r="V30" s="645"/>
      <c r="W30" s="645"/>
      <c r="X30" s="645"/>
      <c r="Y30" s="645"/>
      <c r="Z30" s="645"/>
      <c r="AA30" s="645"/>
      <c r="AB30" s="645"/>
      <c r="AC30" s="645"/>
      <c r="AD30" s="645"/>
      <c r="AE30" s="645"/>
      <c r="AF30" s="131">
        <v>400</v>
      </c>
      <c r="AG30" s="131">
        <v>266</v>
      </c>
      <c r="AH30" s="2">
        <v>400</v>
      </c>
      <c r="AI30" s="145">
        <v>15.64</v>
      </c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 t="s">
        <v>15</v>
      </c>
      <c r="AW30" s="148">
        <v>20</v>
      </c>
      <c r="AX30" s="2" t="s">
        <v>297</v>
      </c>
      <c r="AY30" s="2" t="s">
        <v>306</v>
      </c>
      <c r="AZ30" s="2" t="s">
        <v>306</v>
      </c>
      <c r="BA30" s="755"/>
    </row>
    <row r="31" spans="1:53" s="672" customFormat="1" ht="31.5">
      <c r="A31" s="202" t="s">
        <v>203</v>
      </c>
      <c r="B31" s="152" t="s">
        <v>208</v>
      </c>
      <c r="C31" s="145" t="s">
        <v>75</v>
      </c>
      <c r="D31" s="91">
        <v>1</v>
      </c>
      <c r="E31" s="91">
        <v>0</v>
      </c>
      <c r="F31" s="91">
        <v>1</v>
      </c>
      <c r="G31" s="91">
        <v>1</v>
      </c>
      <c r="H31" s="145"/>
      <c r="I31" s="145"/>
      <c r="J31" s="145"/>
      <c r="K31" s="145"/>
      <c r="L31" s="55">
        <v>75</v>
      </c>
      <c r="M31" s="55">
        <v>0</v>
      </c>
      <c r="N31" s="55">
        <v>25</v>
      </c>
      <c r="O31" s="55">
        <v>0.5</v>
      </c>
      <c r="P31" s="91">
        <v>42</v>
      </c>
      <c r="Q31" s="131">
        <v>31</v>
      </c>
      <c r="R31" s="33">
        <v>42</v>
      </c>
      <c r="S31" s="131">
        <v>1.11</v>
      </c>
      <c r="T31" s="145"/>
      <c r="U31" s="645"/>
      <c r="V31" s="645"/>
      <c r="W31" s="645">
        <v>2.6</v>
      </c>
      <c r="X31" s="645"/>
      <c r="Y31" s="645"/>
      <c r="Z31" s="645"/>
      <c r="AA31" s="645"/>
      <c r="AB31" s="55">
        <v>50</v>
      </c>
      <c r="AC31" s="131">
        <v>0</v>
      </c>
      <c r="AD31" s="645"/>
      <c r="AE31" s="645"/>
      <c r="AF31" s="91">
        <f>1*15</f>
        <v>15</v>
      </c>
      <c r="AG31" s="91">
        <v>0</v>
      </c>
      <c r="AH31" s="645"/>
      <c r="AI31" s="645"/>
      <c r="AJ31" s="645"/>
      <c r="AK31" s="645"/>
      <c r="AL31" s="645"/>
      <c r="AM31" s="645"/>
      <c r="AN31" s="645"/>
      <c r="AO31" s="645"/>
      <c r="AP31" s="645"/>
      <c r="AQ31" s="645"/>
      <c r="AR31" s="145"/>
      <c r="AS31" s="145"/>
      <c r="AT31" s="145"/>
      <c r="AU31" s="145"/>
      <c r="AV31" s="145" t="s">
        <v>87</v>
      </c>
      <c r="AW31" s="148">
        <v>35</v>
      </c>
      <c r="AX31" s="145" t="s">
        <v>13</v>
      </c>
      <c r="AY31" s="150" t="s">
        <v>306</v>
      </c>
      <c r="AZ31" s="145" t="s">
        <v>328</v>
      </c>
      <c r="BA31" s="116"/>
    </row>
    <row r="32" spans="1:53" s="672" customFormat="1" ht="54" customHeight="1">
      <c r="A32" s="202"/>
      <c r="B32" s="198" t="s">
        <v>76</v>
      </c>
      <c r="C32" s="145" t="s">
        <v>34</v>
      </c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>
        <v>2760</v>
      </c>
      <c r="AS32" s="145">
        <v>0</v>
      </c>
      <c r="AT32" s="145"/>
      <c r="AU32" s="145"/>
      <c r="AV32" s="145"/>
      <c r="AW32" s="148"/>
      <c r="AX32" s="42"/>
      <c r="AY32" s="145"/>
      <c r="AZ32" s="145"/>
      <c r="BA32" s="55" t="s">
        <v>1156</v>
      </c>
    </row>
    <row r="33" spans="1:53" s="672" customFormat="1" ht="44.25" customHeight="1">
      <c r="A33" s="202"/>
      <c r="B33" s="198" t="s">
        <v>1211</v>
      </c>
      <c r="C33" s="55" t="s">
        <v>1212</v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>
        <v>100</v>
      </c>
      <c r="AS33" s="55">
        <v>0</v>
      </c>
      <c r="AT33" s="145"/>
      <c r="AU33" s="145"/>
      <c r="AV33" s="145"/>
      <c r="AW33" s="148"/>
      <c r="AX33" s="42"/>
      <c r="AY33" s="145"/>
      <c r="AZ33" s="145"/>
      <c r="BA33" s="55" t="s">
        <v>1156</v>
      </c>
    </row>
    <row r="34" spans="1:53" s="672" customFormat="1" ht="72.75" customHeight="1">
      <c r="A34" s="202"/>
      <c r="B34" s="198" t="s">
        <v>1197</v>
      </c>
      <c r="C34" s="55" t="s">
        <v>1213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>
        <v>16</v>
      </c>
      <c r="AS34" s="33">
        <v>0</v>
      </c>
      <c r="AT34" s="145"/>
      <c r="AU34" s="145"/>
      <c r="AV34" s="145"/>
      <c r="AW34" s="148"/>
      <c r="AX34" s="42"/>
      <c r="AY34" s="145"/>
      <c r="AZ34" s="145"/>
      <c r="BA34" s="55" t="s">
        <v>1156</v>
      </c>
    </row>
    <row r="35" spans="1:53" s="652" customFormat="1" ht="30.75" customHeight="1">
      <c r="A35" s="152"/>
      <c r="B35" s="96" t="s">
        <v>1214</v>
      </c>
      <c r="C35" s="2" t="s">
        <v>34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>
        <v>1000</v>
      </c>
      <c r="AS35" s="2">
        <v>0</v>
      </c>
      <c r="AT35" s="2"/>
      <c r="AU35" s="2"/>
      <c r="AV35" s="2"/>
      <c r="AW35" s="148"/>
      <c r="AX35" s="415"/>
      <c r="AY35" s="2"/>
      <c r="AZ35" s="2"/>
      <c r="BA35" s="55" t="s">
        <v>1156</v>
      </c>
    </row>
    <row r="36" spans="1:53" ht="16.5" thickBot="1">
      <c r="A36" s="280"/>
      <c r="B36" s="1255" t="s">
        <v>14</v>
      </c>
      <c r="C36" s="1255"/>
      <c r="D36" s="767">
        <f>SUM(D25:D35)</f>
        <v>1</v>
      </c>
      <c r="E36" s="767">
        <f aca="true" t="shared" si="2" ref="E36:AU36">SUM(E25:E35)</f>
        <v>0</v>
      </c>
      <c r="F36" s="767">
        <f t="shared" si="2"/>
        <v>1</v>
      </c>
      <c r="G36" s="767">
        <f t="shared" si="2"/>
        <v>1</v>
      </c>
      <c r="H36" s="767">
        <f t="shared" si="2"/>
        <v>0</v>
      </c>
      <c r="I36" s="767">
        <f t="shared" si="2"/>
        <v>0</v>
      </c>
      <c r="J36" s="767">
        <f t="shared" si="2"/>
        <v>0</v>
      </c>
      <c r="K36" s="767">
        <f t="shared" si="2"/>
        <v>0</v>
      </c>
      <c r="L36" s="767">
        <f t="shared" si="2"/>
        <v>1275</v>
      </c>
      <c r="M36" s="767">
        <f t="shared" si="2"/>
        <v>1008</v>
      </c>
      <c r="N36" s="767">
        <f t="shared" si="2"/>
        <v>650</v>
      </c>
      <c r="O36" s="767">
        <f t="shared" si="2"/>
        <v>3.25</v>
      </c>
      <c r="P36" s="767">
        <f t="shared" si="2"/>
        <v>42</v>
      </c>
      <c r="Q36" s="767">
        <f t="shared" si="2"/>
        <v>31</v>
      </c>
      <c r="R36" s="767">
        <f t="shared" si="2"/>
        <v>42</v>
      </c>
      <c r="S36" s="767">
        <f t="shared" si="2"/>
        <v>1.11</v>
      </c>
      <c r="T36" s="767">
        <f t="shared" si="2"/>
        <v>0</v>
      </c>
      <c r="U36" s="767">
        <f t="shared" si="2"/>
        <v>0</v>
      </c>
      <c r="V36" s="767">
        <f t="shared" si="2"/>
        <v>0</v>
      </c>
      <c r="W36" s="767">
        <f t="shared" si="2"/>
        <v>2.6</v>
      </c>
      <c r="X36" s="767">
        <f t="shared" si="2"/>
        <v>560</v>
      </c>
      <c r="Y36" s="767">
        <f t="shared" si="2"/>
        <v>15</v>
      </c>
      <c r="Z36" s="767">
        <f t="shared" si="2"/>
        <v>140</v>
      </c>
      <c r="AA36" s="767">
        <f t="shared" si="2"/>
        <v>10.5</v>
      </c>
      <c r="AB36" s="767">
        <f t="shared" si="2"/>
        <v>3440</v>
      </c>
      <c r="AC36" s="767">
        <f t="shared" si="2"/>
        <v>731</v>
      </c>
      <c r="AD36" s="767">
        <f t="shared" si="2"/>
        <v>1440</v>
      </c>
      <c r="AE36" s="767">
        <f t="shared" si="2"/>
        <v>15.36</v>
      </c>
      <c r="AF36" s="767">
        <f t="shared" si="2"/>
        <v>415</v>
      </c>
      <c r="AG36" s="767">
        <f t="shared" si="2"/>
        <v>266</v>
      </c>
      <c r="AH36" s="767">
        <f t="shared" si="2"/>
        <v>400</v>
      </c>
      <c r="AI36" s="767">
        <f t="shared" si="2"/>
        <v>15.64</v>
      </c>
      <c r="AJ36" s="767">
        <f t="shared" si="2"/>
        <v>0</v>
      </c>
      <c r="AK36" s="767">
        <f t="shared" si="2"/>
        <v>0</v>
      </c>
      <c r="AL36" s="767">
        <f t="shared" si="2"/>
        <v>0</v>
      </c>
      <c r="AM36" s="767">
        <f t="shared" si="2"/>
        <v>0</v>
      </c>
      <c r="AN36" s="767">
        <f t="shared" si="2"/>
        <v>0</v>
      </c>
      <c r="AO36" s="767">
        <f t="shared" si="2"/>
        <v>0</v>
      </c>
      <c r="AP36" s="767">
        <f t="shared" si="2"/>
        <v>0</v>
      </c>
      <c r="AQ36" s="767">
        <f t="shared" si="2"/>
        <v>0</v>
      </c>
      <c r="AR36" s="767">
        <f t="shared" si="2"/>
        <v>3936</v>
      </c>
      <c r="AS36" s="767">
        <f t="shared" si="2"/>
        <v>0</v>
      </c>
      <c r="AT36" s="767">
        <f t="shared" si="2"/>
        <v>60</v>
      </c>
      <c r="AU36" s="767">
        <f t="shared" si="2"/>
        <v>4.47</v>
      </c>
      <c r="AV36" s="768"/>
      <c r="AW36" s="768"/>
      <c r="AX36" s="768"/>
      <c r="AY36" s="768"/>
      <c r="AZ36" s="768"/>
      <c r="BA36" s="769"/>
    </row>
    <row r="37" spans="1:53" ht="16.5" thickBot="1">
      <c r="A37" s="292"/>
      <c r="B37" s="1240" t="s">
        <v>17</v>
      </c>
      <c r="C37" s="1240"/>
      <c r="D37" s="162">
        <f>SUM(D14,D24,D36)</f>
        <v>2776</v>
      </c>
      <c r="E37" s="162">
        <f aca="true" t="shared" si="3" ref="E37:AU37">SUM(E14,E24,E36)</f>
        <v>10</v>
      </c>
      <c r="F37" s="162">
        <f t="shared" si="3"/>
        <v>2312</v>
      </c>
      <c r="G37" s="162">
        <f t="shared" si="3"/>
        <v>185.75</v>
      </c>
      <c r="H37" s="162">
        <f t="shared" si="3"/>
        <v>30</v>
      </c>
      <c r="I37" s="162">
        <f t="shared" si="3"/>
        <v>0</v>
      </c>
      <c r="J37" s="162">
        <f t="shared" si="3"/>
        <v>50</v>
      </c>
      <c r="K37" s="162">
        <f t="shared" si="3"/>
        <v>1.29</v>
      </c>
      <c r="L37" s="162">
        <f t="shared" si="3"/>
        <v>1699</v>
      </c>
      <c r="M37" s="162">
        <f t="shared" si="3"/>
        <v>1150</v>
      </c>
      <c r="N37" s="162">
        <f t="shared" si="3"/>
        <v>1846</v>
      </c>
      <c r="O37" s="162">
        <f t="shared" si="3"/>
        <v>48.42</v>
      </c>
      <c r="P37" s="162">
        <f t="shared" si="3"/>
        <v>813</v>
      </c>
      <c r="Q37" s="162">
        <f t="shared" si="3"/>
        <v>1039</v>
      </c>
      <c r="R37" s="162">
        <f t="shared" si="3"/>
        <v>565</v>
      </c>
      <c r="S37" s="162">
        <f t="shared" si="3"/>
        <v>51.379999999999995</v>
      </c>
      <c r="T37" s="162">
        <f t="shared" si="3"/>
        <v>3710</v>
      </c>
      <c r="U37" s="162">
        <f t="shared" si="3"/>
        <v>4499</v>
      </c>
      <c r="V37" s="162">
        <f t="shared" si="3"/>
        <v>2930</v>
      </c>
      <c r="W37" s="162">
        <f t="shared" si="3"/>
        <v>183.33</v>
      </c>
      <c r="X37" s="162">
        <f t="shared" si="3"/>
        <v>902</v>
      </c>
      <c r="Y37" s="162">
        <f t="shared" si="3"/>
        <v>58</v>
      </c>
      <c r="Z37" s="162">
        <f t="shared" si="3"/>
        <v>431</v>
      </c>
      <c r="AA37" s="162">
        <f t="shared" si="3"/>
        <v>33.72</v>
      </c>
      <c r="AB37" s="162">
        <f t="shared" si="3"/>
        <v>7884</v>
      </c>
      <c r="AC37" s="162">
        <f t="shared" si="3"/>
        <v>3091</v>
      </c>
      <c r="AD37" s="162">
        <f t="shared" si="3"/>
        <v>3130</v>
      </c>
      <c r="AE37" s="162">
        <f t="shared" si="3"/>
        <v>138.26999999999998</v>
      </c>
      <c r="AF37" s="162">
        <f t="shared" si="3"/>
        <v>1069</v>
      </c>
      <c r="AG37" s="162">
        <f t="shared" si="3"/>
        <v>514</v>
      </c>
      <c r="AH37" s="162">
        <f t="shared" si="3"/>
        <v>1034</v>
      </c>
      <c r="AI37" s="162">
        <f t="shared" si="3"/>
        <v>46.4</v>
      </c>
      <c r="AJ37" s="162">
        <f t="shared" si="3"/>
        <v>7661</v>
      </c>
      <c r="AK37" s="162">
        <f t="shared" si="3"/>
        <v>0</v>
      </c>
      <c r="AL37" s="162">
        <f t="shared" si="3"/>
        <v>6496</v>
      </c>
      <c r="AM37" s="162">
        <f t="shared" si="3"/>
        <v>0</v>
      </c>
      <c r="AN37" s="162">
        <f t="shared" si="3"/>
        <v>315</v>
      </c>
      <c r="AO37" s="162">
        <f t="shared" si="3"/>
        <v>14</v>
      </c>
      <c r="AP37" s="162">
        <f t="shared" si="3"/>
        <v>289</v>
      </c>
      <c r="AQ37" s="162">
        <f t="shared" si="3"/>
        <v>21.1</v>
      </c>
      <c r="AR37" s="162">
        <f t="shared" si="3"/>
        <v>4686.7</v>
      </c>
      <c r="AS37" s="162">
        <f t="shared" si="3"/>
        <v>0</v>
      </c>
      <c r="AT37" s="162">
        <f t="shared" si="3"/>
        <v>3738</v>
      </c>
      <c r="AU37" s="162">
        <f t="shared" si="3"/>
        <v>166.48</v>
      </c>
      <c r="AV37" s="38"/>
      <c r="AW37" s="38"/>
      <c r="AX37" s="38"/>
      <c r="AY37" s="37"/>
      <c r="AZ37" s="37"/>
      <c r="BA37" s="39"/>
    </row>
    <row r="38" ht="15.75">
      <c r="B38" s="190"/>
    </row>
  </sheetData>
  <sheetProtection/>
  <mergeCells count="65">
    <mergeCell ref="AD26:AD28"/>
    <mergeCell ref="AE26:AE28"/>
    <mergeCell ref="AV26:AV28"/>
    <mergeCell ref="B36:C36"/>
    <mergeCell ref="B37:C37"/>
    <mergeCell ref="AL21:AM21"/>
    <mergeCell ref="AL23:AM23"/>
    <mergeCell ref="B24:C24"/>
    <mergeCell ref="AB26:AB28"/>
    <mergeCell ref="A25:A28"/>
    <mergeCell ref="B26:B28"/>
    <mergeCell ref="L26:L28"/>
    <mergeCell ref="M26:M28"/>
    <mergeCell ref="N26:N28"/>
    <mergeCell ref="O26:O28"/>
    <mergeCell ref="AZ4:AZ5"/>
    <mergeCell ref="BA4:BA5"/>
    <mergeCell ref="C9:C13"/>
    <mergeCell ref="AK9:AK11"/>
    <mergeCell ref="AM9:AM11"/>
    <mergeCell ref="B14:C14"/>
    <mergeCell ref="AR4:AS4"/>
    <mergeCell ref="AT4:AU4"/>
    <mergeCell ref="AV4:AV5"/>
    <mergeCell ref="AW4:AW5"/>
    <mergeCell ref="AX4:AX5"/>
    <mergeCell ref="AY4:AY5"/>
    <mergeCell ref="AF4:AG4"/>
    <mergeCell ref="AH4:AI4"/>
    <mergeCell ref="AJ4:AK4"/>
    <mergeCell ref="AL4:AM4"/>
    <mergeCell ref="AN4:AO4"/>
    <mergeCell ref="AP4:AQ4"/>
    <mergeCell ref="T4:U4"/>
    <mergeCell ref="V4:W4"/>
    <mergeCell ref="X4:Y4"/>
    <mergeCell ref="Z4:AA4"/>
    <mergeCell ref="AB4:AC4"/>
    <mergeCell ref="AD4:AE4"/>
    <mergeCell ref="H4:I4"/>
    <mergeCell ref="J4:K4"/>
    <mergeCell ref="L4:M4"/>
    <mergeCell ref="N4:O4"/>
    <mergeCell ref="P4:Q4"/>
    <mergeCell ref="R4:S4"/>
    <mergeCell ref="AF3:AI3"/>
    <mergeCell ref="AJ3:AM3"/>
    <mergeCell ref="AN3:AQ3"/>
    <mergeCell ref="AR3:AU3"/>
    <mergeCell ref="AV3:AY3"/>
    <mergeCell ref="A4:A5"/>
    <mergeCell ref="B4:B5"/>
    <mergeCell ref="C4:C5"/>
    <mergeCell ref="D4:E4"/>
    <mergeCell ref="F4:G4"/>
    <mergeCell ref="A1:BA1"/>
    <mergeCell ref="A2:BA2"/>
    <mergeCell ref="A3:C3"/>
    <mergeCell ref="D3:G3"/>
    <mergeCell ref="H3:K3"/>
    <mergeCell ref="L3:O3"/>
    <mergeCell ref="P3:S3"/>
    <mergeCell ref="T3:W3"/>
    <mergeCell ref="X3:AA3"/>
    <mergeCell ref="AB3:AE3"/>
  </mergeCells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32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5"/>
  <cols>
    <col min="1" max="1" width="15.421875" style="4" customWidth="1"/>
    <col min="2" max="2" width="20.7109375" style="1" customWidth="1"/>
    <col min="3" max="3" width="19.421875" style="10" customWidth="1"/>
    <col min="4" max="31" width="6.421875" style="10" customWidth="1"/>
    <col min="32" max="32" width="11.28125" style="4" customWidth="1"/>
    <col min="33" max="33" width="20.7109375" style="4" customWidth="1"/>
    <col min="34" max="34" width="36.00390625" style="13" customWidth="1"/>
    <col min="35" max="35" width="17.8515625" style="3" customWidth="1"/>
    <col min="36" max="36" width="35.8515625" style="3" customWidth="1"/>
    <col min="37" max="16384" width="9.140625" style="4" customWidth="1"/>
  </cols>
  <sheetData>
    <row r="1" spans="1:36" s="1" customFormat="1" ht="16.5" thickBot="1">
      <c r="A1" s="1181" t="s">
        <v>65</v>
      </c>
      <c r="B1" s="1182"/>
      <c r="C1" s="1182"/>
      <c r="D1" s="1182"/>
      <c r="E1" s="1182"/>
      <c r="F1" s="1182"/>
      <c r="G1" s="1182"/>
      <c r="H1" s="1182"/>
      <c r="I1" s="1182"/>
      <c r="J1" s="1182"/>
      <c r="K1" s="1182"/>
      <c r="L1" s="1182"/>
      <c r="M1" s="1182"/>
      <c r="N1" s="1182"/>
      <c r="O1" s="1182"/>
      <c r="P1" s="1182"/>
      <c r="Q1" s="1182"/>
      <c r="R1" s="1182"/>
      <c r="S1" s="1182"/>
      <c r="T1" s="1182"/>
      <c r="U1" s="1182"/>
      <c r="V1" s="1182"/>
      <c r="W1" s="1182"/>
      <c r="X1" s="1182"/>
      <c r="Y1" s="1182"/>
      <c r="Z1" s="1182"/>
      <c r="AA1" s="1182"/>
      <c r="AB1" s="1182"/>
      <c r="AC1" s="1182"/>
      <c r="AD1" s="1182"/>
      <c r="AE1" s="1182"/>
      <c r="AF1" s="1182"/>
      <c r="AG1" s="1182"/>
      <c r="AH1" s="1182"/>
      <c r="AI1" s="1182"/>
      <c r="AJ1" s="1183"/>
    </row>
    <row r="2" spans="1:36" s="1" customFormat="1" ht="16.5" thickBot="1">
      <c r="A2" s="1243" t="s">
        <v>550</v>
      </c>
      <c r="B2" s="1244"/>
      <c r="C2" s="1244"/>
      <c r="D2" s="1244"/>
      <c r="E2" s="1244"/>
      <c r="F2" s="1244"/>
      <c r="G2" s="1244"/>
      <c r="H2" s="1244"/>
      <c r="I2" s="1244"/>
      <c r="J2" s="1244"/>
      <c r="K2" s="1244"/>
      <c r="L2" s="1244"/>
      <c r="M2" s="1244"/>
      <c r="N2" s="1244"/>
      <c r="O2" s="1244"/>
      <c r="P2" s="1244"/>
      <c r="Q2" s="1244"/>
      <c r="R2" s="1244"/>
      <c r="S2" s="1244"/>
      <c r="T2" s="1244"/>
      <c r="U2" s="1244"/>
      <c r="V2" s="1244"/>
      <c r="W2" s="1244"/>
      <c r="X2" s="1244"/>
      <c r="Y2" s="1244"/>
      <c r="Z2" s="1244"/>
      <c r="AA2" s="1244"/>
      <c r="AB2" s="1244"/>
      <c r="AC2" s="1244"/>
      <c r="AD2" s="1244"/>
      <c r="AE2" s="1244"/>
      <c r="AF2" s="1244"/>
      <c r="AG2" s="1244"/>
      <c r="AH2" s="1244"/>
      <c r="AI2" s="1244"/>
      <c r="AJ2" s="1258"/>
    </row>
    <row r="3" spans="1:36" s="1" customFormat="1" ht="16.5" thickBot="1">
      <c r="A3" s="1180"/>
      <c r="B3" s="1115"/>
      <c r="C3" s="1116"/>
      <c r="D3" s="1114" t="s">
        <v>1073</v>
      </c>
      <c r="E3" s="1115"/>
      <c r="F3" s="1115"/>
      <c r="G3" s="1116"/>
      <c r="H3" s="1114" t="s">
        <v>1074</v>
      </c>
      <c r="I3" s="1115"/>
      <c r="J3" s="1115"/>
      <c r="K3" s="1116"/>
      <c r="L3" s="1114" t="s">
        <v>1075</v>
      </c>
      <c r="M3" s="1115"/>
      <c r="N3" s="1115"/>
      <c r="O3" s="1116"/>
      <c r="P3" s="1114" t="s">
        <v>1076</v>
      </c>
      <c r="Q3" s="1115"/>
      <c r="R3" s="1115"/>
      <c r="S3" s="1116"/>
      <c r="T3" s="1114" t="s">
        <v>1077</v>
      </c>
      <c r="U3" s="1115"/>
      <c r="V3" s="1115"/>
      <c r="W3" s="1116"/>
      <c r="X3" s="1114" t="s">
        <v>1078</v>
      </c>
      <c r="Y3" s="1115"/>
      <c r="Z3" s="1115"/>
      <c r="AA3" s="1116"/>
      <c r="AB3" s="1114" t="s">
        <v>1079</v>
      </c>
      <c r="AC3" s="1115"/>
      <c r="AD3" s="1115"/>
      <c r="AE3" s="1116"/>
      <c r="AF3" s="1114"/>
      <c r="AG3" s="1115"/>
      <c r="AH3" s="1115"/>
      <c r="AI3" s="1115"/>
      <c r="AJ3" s="1157"/>
    </row>
    <row r="4" spans="1:36" s="7" customFormat="1" ht="15.75" customHeight="1">
      <c r="A4" s="1235" t="s">
        <v>116</v>
      </c>
      <c r="B4" s="1051" t="s">
        <v>43</v>
      </c>
      <c r="C4" s="1051" t="s">
        <v>20</v>
      </c>
      <c r="D4" s="1246" t="s">
        <v>112</v>
      </c>
      <c r="E4" s="1247"/>
      <c r="F4" s="1246" t="s">
        <v>113</v>
      </c>
      <c r="G4" s="1247"/>
      <c r="H4" s="1246" t="s">
        <v>112</v>
      </c>
      <c r="I4" s="1247"/>
      <c r="J4" s="1246" t="s">
        <v>113</v>
      </c>
      <c r="K4" s="1247"/>
      <c r="L4" s="1246" t="s">
        <v>112</v>
      </c>
      <c r="M4" s="1247"/>
      <c r="N4" s="1246" t="s">
        <v>113</v>
      </c>
      <c r="O4" s="1247"/>
      <c r="P4" s="1246" t="s">
        <v>112</v>
      </c>
      <c r="Q4" s="1247"/>
      <c r="R4" s="1246" t="s">
        <v>113</v>
      </c>
      <c r="S4" s="1247"/>
      <c r="T4" s="1246" t="s">
        <v>112</v>
      </c>
      <c r="U4" s="1247"/>
      <c r="V4" s="1246" t="s">
        <v>113</v>
      </c>
      <c r="W4" s="1247"/>
      <c r="X4" s="1246" t="s">
        <v>112</v>
      </c>
      <c r="Y4" s="1247"/>
      <c r="Z4" s="1246" t="s">
        <v>113</v>
      </c>
      <c r="AA4" s="1247"/>
      <c r="AB4" s="1246" t="s">
        <v>112</v>
      </c>
      <c r="AC4" s="1247"/>
      <c r="AD4" s="1246" t="s">
        <v>113</v>
      </c>
      <c r="AE4" s="1247"/>
      <c r="AF4" s="1117" t="s">
        <v>4</v>
      </c>
      <c r="AG4" s="1117" t="s">
        <v>855</v>
      </c>
      <c r="AH4" s="1117" t="s">
        <v>5</v>
      </c>
      <c r="AI4" s="1119" t="s">
        <v>83</v>
      </c>
      <c r="AJ4" s="1158" t="s">
        <v>84</v>
      </c>
    </row>
    <row r="5" spans="1:36" s="7" customFormat="1" ht="110.25" customHeight="1" thickBot="1">
      <c r="A5" s="1236"/>
      <c r="B5" s="1052"/>
      <c r="C5" s="1052"/>
      <c r="D5" s="25" t="s">
        <v>6</v>
      </c>
      <c r="E5" s="25" t="s">
        <v>7</v>
      </c>
      <c r="F5" s="25" t="s">
        <v>6</v>
      </c>
      <c r="G5" s="25" t="s">
        <v>96</v>
      </c>
      <c r="H5" s="25" t="s">
        <v>6</v>
      </c>
      <c r="I5" s="25" t="s">
        <v>7</v>
      </c>
      <c r="J5" s="25" t="s">
        <v>6</v>
      </c>
      <c r="K5" s="25" t="s">
        <v>96</v>
      </c>
      <c r="L5" s="25" t="s">
        <v>6</v>
      </c>
      <c r="M5" s="25" t="s">
        <v>7</v>
      </c>
      <c r="N5" s="25" t="s">
        <v>6</v>
      </c>
      <c r="O5" s="25" t="s">
        <v>96</v>
      </c>
      <c r="P5" s="25" t="s">
        <v>6</v>
      </c>
      <c r="Q5" s="25" t="s">
        <v>7</v>
      </c>
      <c r="R5" s="25" t="s">
        <v>6</v>
      </c>
      <c r="S5" s="25" t="s">
        <v>96</v>
      </c>
      <c r="T5" s="25" t="s">
        <v>6</v>
      </c>
      <c r="U5" s="25" t="s">
        <v>7</v>
      </c>
      <c r="V5" s="25" t="s">
        <v>6</v>
      </c>
      <c r="W5" s="25" t="s">
        <v>96</v>
      </c>
      <c r="X5" s="25" t="s">
        <v>6</v>
      </c>
      <c r="Y5" s="25" t="s">
        <v>7</v>
      </c>
      <c r="Z5" s="25" t="s">
        <v>6</v>
      </c>
      <c r="AA5" s="25" t="s">
        <v>96</v>
      </c>
      <c r="AB5" s="25" t="s">
        <v>6</v>
      </c>
      <c r="AC5" s="25" t="s">
        <v>7</v>
      </c>
      <c r="AD5" s="25" t="s">
        <v>6</v>
      </c>
      <c r="AE5" s="25" t="s">
        <v>96</v>
      </c>
      <c r="AF5" s="1118"/>
      <c r="AG5" s="1118"/>
      <c r="AH5" s="1118"/>
      <c r="AI5" s="1120"/>
      <c r="AJ5" s="1159"/>
    </row>
    <row r="6" spans="1:36" s="8" customFormat="1" ht="45">
      <c r="A6" s="770" t="s">
        <v>195</v>
      </c>
      <c r="B6" s="151" t="s">
        <v>74</v>
      </c>
      <c r="C6" s="152" t="s">
        <v>92</v>
      </c>
      <c r="D6" s="560">
        <v>15</v>
      </c>
      <c r="E6" s="560"/>
      <c r="F6" s="560"/>
      <c r="G6" s="684"/>
      <c r="H6" s="560">
        <v>12</v>
      </c>
      <c r="I6" s="560">
        <v>4</v>
      </c>
      <c r="J6" s="560">
        <v>12</v>
      </c>
      <c r="K6" s="684">
        <v>2.14</v>
      </c>
      <c r="L6" s="33">
        <v>3</v>
      </c>
      <c r="M6" s="33">
        <v>0</v>
      </c>
      <c r="N6" s="33"/>
      <c r="O6" s="33"/>
      <c r="P6" s="101" t="s">
        <v>1215</v>
      </c>
      <c r="Q6" s="33">
        <v>0</v>
      </c>
      <c r="R6" s="101" t="s">
        <v>1215</v>
      </c>
      <c r="S6" s="101">
        <v>3.28</v>
      </c>
      <c r="T6" s="206">
        <v>9</v>
      </c>
      <c r="U6" s="206">
        <v>0</v>
      </c>
      <c r="V6" s="206">
        <v>3</v>
      </c>
      <c r="W6" s="206">
        <v>2.91</v>
      </c>
      <c r="X6" s="33">
        <v>5</v>
      </c>
      <c r="Y6" s="33">
        <v>0</v>
      </c>
      <c r="Z6" s="33">
        <v>1</v>
      </c>
      <c r="AA6" s="33">
        <v>0.71</v>
      </c>
      <c r="AB6" s="562">
        <v>0</v>
      </c>
      <c r="AC6" s="562">
        <v>0</v>
      </c>
      <c r="AD6" s="562">
        <v>15</v>
      </c>
      <c r="AE6" s="558">
        <v>2.88</v>
      </c>
      <c r="AF6" s="145" t="s">
        <v>99</v>
      </c>
      <c r="AG6" s="562">
        <v>3</v>
      </c>
      <c r="AH6" s="145" t="s">
        <v>67</v>
      </c>
      <c r="AI6" s="150" t="s">
        <v>306</v>
      </c>
      <c r="AJ6" s="116" t="s">
        <v>108</v>
      </c>
    </row>
    <row r="7" spans="1:36" s="8" customFormat="1" ht="30">
      <c r="A7" s="771" t="s">
        <v>196</v>
      </c>
      <c r="B7" s="156" t="s">
        <v>66</v>
      </c>
      <c r="C7" s="1200" t="s">
        <v>22</v>
      </c>
      <c r="D7" s="560">
        <v>10</v>
      </c>
      <c r="E7" s="560">
        <v>0</v>
      </c>
      <c r="F7" s="168"/>
      <c r="G7" s="168"/>
      <c r="H7" s="168"/>
      <c r="I7" s="168"/>
      <c r="J7" s="168"/>
      <c r="K7" s="168"/>
      <c r="L7" s="33">
        <v>20</v>
      </c>
      <c r="M7" s="33">
        <v>0</v>
      </c>
      <c r="N7" s="168"/>
      <c r="O7" s="168"/>
      <c r="P7" s="101">
        <v>6</v>
      </c>
      <c r="Q7" s="33">
        <v>2</v>
      </c>
      <c r="R7" s="101">
        <v>4</v>
      </c>
      <c r="S7" s="101">
        <v>2.89</v>
      </c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50" t="s">
        <v>98</v>
      </c>
      <c r="AG7" s="562">
        <v>3</v>
      </c>
      <c r="AH7" s="150" t="s">
        <v>67</v>
      </c>
      <c r="AI7" s="150" t="s">
        <v>306</v>
      </c>
      <c r="AJ7" s="161" t="s">
        <v>102</v>
      </c>
    </row>
    <row r="8" spans="1:36" s="8" customFormat="1" ht="30">
      <c r="A8" s="772" t="s">
        <v>199</v>
      </c>
      <c r="B8" s="35" t="s">
        <v>68</v>
      </c>
      <c r="C8" s="1201"/>
      <c r="D8" s="560"/>
      <c r="E8" s="560"/>
      <c r="F8" s="131"/>
      <c r="G8" s="131"/>
      <c r="H8" s="560">
        <v>8</v>
      </c>
      <c r="I8" s="560">
        <v>8</v>
      </c>
      <c r="J8" s="560">
        <v>8</v>
      </c>
      <c r="K8" s="684">
        <v>0.65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623"/>
      <c r="Y8" s="623"/>
      <c r="Z8" s="623"/>
      <c r="AA8" s="623"/>
      <c r="AB8" s="623"/>
      <c r="AC8" s="623"/>
      <c r="AD8" s="623"/>
      <c r="AE8" s="623"/>
      <c r="AF8" s="145" t="s">
        <v>69</v>
      </c>
      <c r="AG8" s="562">
        <v>4</v>
      </c>
      <c r="AH8" s="150" t="s">
        <v>67</v>
      </c>
      <c r="AI8" s="150" t="s">
        <v>306</v>
      </c>
      <c r="AJ8" s="116" t="s">
        <v>102</v>
      </c>
    </row>
    <row r="9" spans="1:36" s="8" customFormat="1" ht="15.75">
      <c r="A9" s="772" t="s">
        <v>200</v>
      </c>
      <c r="B9" s="151" t="s">
        <v>80</v>
      </c>
      <c r="C9" s="1201"/>
      <c r="D9" s="560">
        <v>24</v>
      </c>
      <c r="E9" s="560">
        <v>0</v>
      </c>
      <c r="F9" s="33"/>
      <c r="G9" s="33"/>
      <c r="H9" s="560">
        <v>90</v>
      </c>
      <c r="I9" s="560">
        <v>90</v>
      </c>
      <c r="J9" s="560">
        <v>90</v>
      </c>
      <c r="K9" s="684">
        <v>7.13</v>
      </c>
      <c r="L9" s="33">
        <v>14</v>
      </c>
      <c r="M9" s="33">
        <v>0</v>
      </c>
      <c r="N9" s="33"/>
      <c r="O9" s="33"/>
      <c r="P9" s="145">
        <v>0</v>
      </c>
      <c r="Q9" s="33">
        <v>0</v>
      </c>
      <c r="R9" s="145">
        <v>20</v>
      </c>
      <c r="S9" s="145">
        <v>3.47</v>
      </c>
      <c r="T9" s="33">
        <v>18</v>
      </c>
      <c r="U9" s="33">
        <v>0</v>
      </c>
      <c r="V9" s="33">
        <v>18</v>
      </c>
      <c r="W9" s="33">
        <v>2.69</v>
      </c>
      <c r="X9" s="623"/>
      <c r="Y9" s="623"/>
      <c r="Z9" s="623"/>
      <c r="AA9" s="623"/>
      <c r="AB9" s="623"/>
      <c r="AC9" s="623"/>
      <c r="AD9" s="623"/>
      <c r="AE9" s="623"/>
      <c r="AF9" s="145" t="s">
        <v>81</v>
      </c>
      <c r="AG9" s="562">
        <v>10</v>
      </c>
      <c r="AH9" s="145" t="s">
        <v>78</v>
      </c>
      <c r="AI9" s="150" t="s">
        <v>306</v>
      </c>
      <c r="AJ9" s="116" t="s">
        <v>103</v>
      </c>
    </row>
    <row r="10" spans="1:36" s="8" customFormat="1" ht="15.75">
      <c r="A10" s="772"/>
      <c r="B10" s="151" t="s">
        <v>79</v>
      </c>
      <c r="C10" s="1201"/>
      <c r="D10" s="560">
        <v>24</v>
      </c>
      <c r="E10" s="560">
        <v>26</v>
      </c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623"/>
      <c r="Y10" s="623"/>
      <c r="Z10" s="623"/>
      <c r="AA10" s="623"/>
      <c r="AB10" s="623"/>
      <c r="AC10" s="623"/>
      <c r="AD10" s="623"/>
      <c r="AE10" s="623"/>
      <c r="AF10" s="145" t="s">
        <v>12</v>
      </c>
      <c r="AG10" s="145" t="s">
        <v>49</v>
      </c>
      <c r="AH10" s="145" t="s">
        <v>297</v>
      </c>
      <c r="AI10" s="150" t="s">
        <v>306</v>
      </c>
      <c r="AJ10" s="116"/>
    </row>
    <row r="11" spans="1:36" s="8" customFormat="1" ht="15.75">
      <c r="A11" s="772" t="s">
        <v>198</v>
      </c>
      <c r="B11" s="151" t="s">
        <v>197</v>
      </c>
      <c r="C11" s="1201"/>
      <c r="D11" s="560"/>
      <c r="E11" s="560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593">
        <v>0</v>
      </c>
      <c r="AC11" s="635">
        <v>0</v>
      </c>
      <c r="AD11" s="593">
        <v>8</v>
      </c>
      <c r="AE11" s="635">
        <v>0.79</v>
      </c>
      <c r="AF11" s="145" t="s">
        <v>71</v>
      </c>
      <c r="AG11" s="562">
        <v>4</v>
      </c>
      <c r="AH11" s="145" t="s">
        <v>72</v>
      </c>
      <c r="AI11" s="150" t="s">
        <v>306</v>
      </c>
      <c r="AJ11" s="773" t="s">
        <v>109</v>
      </c>
    </row>
    <row r="12" spans="1:36" s="8" customFormat="1" ht="15.75">
      <c r="A12" s="774" t="s">
        <v>199</v>
      </c>
      <c r="B12" s="761" t="s">
        <v>649</v>
      </c>
      <c r="C12" s="1201"/>
      <c r="D12" s="560"/>
      <c r="E12" s="560"/>
      <c r="F12" s="152"/>
      <c r="G12" s="152"/>
      <c r="H12" s="152"/>
      <c r="I12" s="152"/>
      <c r="J12" s="152"/>
      <c r="K12" s="152"/>
      <c r="L12" s="33">
        <v>16</v>
      </c>
      <c r="M12" s="33">
        <v>0</v>
      </c>
      <c r="N12" s="152"/>
      <c r="O12" s="152"/>
      <c r="P12" s="152"/>
      <c r="Q12" s="152"/>
      <c r="R12" s="152"/>
      <c r="S12" s="152"/>
      <c r="T12" s="33">
        <v>3</v>
      </c>
      <c r="U12" s="33">
        <v>0</v>
      </c>
      <c r="V12" s="33">
        <v>3</v>
      </c>
      <c r="W12" s="33">
        <v>0.52</v>
      </c>
      <c r="X12" s="33">
        <v>12</v>
      </c>
      <c r="Y12" s="33">
        <v>0</v>
      </c>
      <c r="Z12" s="33">
        <v>2</v>
      </c>
      <c r="AA12" s="33">
        <v>0.2</v>
      </c>
      <c r="AB12" s="593">
        <v>2</v>
      </c>
      <c r="AC12" s="739">
        <v>0</v>
      </c>
      <c r="AD12" s="593">
        <v>0</v>
      </c>
      <c r="AE12" s="678">
        <v>0</v>
      </c>
      <c r="AF12" s="2" t="s">
        <v>73</v>
      </c>
      <c r="AG12" s="562" t="s">
        <v>651</v>
      </c>
      <c r="AH12" s="2" t="s">
        <v>72</v>
      </c>
      <c r="AI12" s="2" t="s">
        <v>306</v>
      </c>
      <c r="AJ12" s="118" t="s">
        <v>650</v>
      </c>
    </row>
    <row r="13" spans="1:36" s="8" customFormat="1" ht="15.75">
      <c r="A13" s="774" t="s">
        <v>872</v>
      </c>
      <c r="B13" s="761" t="s">
        <v>1216</v>
      </c>
      <c r="C13" s="1117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33"/>
      <c r="Y13" s="33"/>
      <c r="Z13" s="33"/>
      <c r="AA13" s="33"/>
      <c r="AB13" s="593">
        <v>2</v>
      </c>
      <c r="AC13" s="739">
        <v>0</v>
      </c>
      <c r="AD13" s="593">
        <v>15</v>
      </c>
      <c r="AE13" s="678">
        <v>2.6</v>
      </c>
      <c r="AF13" s="2" t="s">
        <v>698</v>
      </c>
      <c r="AG13" s="562">
        <v>5</v>
      </c>
      <c r="AH13" s="2" t="s">
        <v>72</v>
      </c>
      <c r="AI13" s="2" t="s">
        <v>306</v>
      </c>
      <c r="AJ13" s="118"/>
    </row>
    <row r="14" spans="1:36" ht="15.75">
      <c r="A14" s="685"/>
      <c r="B14" s="1027" t="s">
        <v>30</v>
      </c>
      <c r="C14" s="1027"/>
      <c r="D14" s="153">
        <f>SUM(D6:D13)</f>
        <v>73</v>
      </c>
      <c r="E14" s="153">
        <f aca="true" t="shared" si="0" ref="E14:AE14">SUM(E6:E13)</f>
        <v>26</v>
      </c>
      <c r="F14" s="153">
        <f t="shared" si="0"/>
        <v>0</v>
      </c>
      <c r="G14" s="153">
        <f t="shared" si="0"/>
        <v>0</v>
      </c>
      <c r="H14" s="153">
        <f t="shared" si="0"/>
        <v>110</v>
      </c>
      <c r="I14" s="153">
        <f t="shared" si="0"/>
        <v>102</v>
      </c>
      <c r="J14" s="153">
        <f t="shared" si="0"/>
        <v>110</v>
      </c>
      <c r="K14" s="153">
        <f t="shared" si="0"/>
        <v>9.92</v>
      </c>
      <c r="L14" s="153">
        <f t="shared" si="0"/>
        <v>53</v>
      </c>
      <c r="M14" s="153">
        <f t="shared" si="0"/>
        <v>0</v>
      </c>
      <c r="N14" s="153">
        <f t="shared" si="0"/>
        <v>0</v>
      </c>
      <c r="O14" s="153">
        <f t="shared" si="0"/>
        <v>0</v>
      </c>
      <c r="P14" s="153">
        <f t="shared" si="0"/>
        <v>6</v>
      </c>
      <c r="Q14" s="153">
        <f t="shared" si="0"/>
        <v>2</v>
      </c>
      <c r="R14" s="153">
        <f t="shared" si="0"/>
        <v>24</v>
      </c>
      <c r="S14" s="153">
        <f t="shared" si="0"/>
        <v>9.64</v>
      </c>
      <c r="T14" s="153">
        <f t="shared" si="0"/>
        <v>30</v>
      </c>
      <c r="U14" s="153">
        <f t="shared" si="0"/>
        <v>0</v>
      </c>
      <c r="V14" s="153">
        <f t="shared" si="0"/>
        <v>24</v>
      </c>
      <c r="W14" s="153">
        <f t="shared" si="0"/>
        <v>6.119999999999999</v>
      </c>
      <c r="X14" s="153">
        <f t="shared" si="0"/>
        <v>17</v>
      </c>
      <c r="Y14" s="153">
        <f t="shared" si="0"/>
        <v>0</v>
      </c>
      <c r="Z14" s="153">
        <f t="shared" si="0"/>
        <v>3</v>
      </c>
      <c r="AA14" s="153">
        <f t="shared" si="0"/>
        <v>0.9099999999999999</v>
      </c>
      <c r="AB14" s="153">
        <f t="shared" si="0"/>
        <v>4</v>
      </c>
      <c r="AC14" s="153">
        <f t="shared" si="0"/>
        <v>0</v>
      </c>
      <c r="AD14" s="153">
        <f t="shared" si="0"/>
        <v>38</v>
      </c>
      <c r="AE14" s="153">
        <f t="shared" si="0"/>
        <v>6.27</v>
      </c>
      <c r="AF14" s="775"/>
      <c r="AG14" s="775"/>
      <c r="AH14" s="775"/>
      <c r="AI14" s="775"/>
      <c r="AJ14" s="776"/>
    </row>
    <row r="15" spans="1:36" s="8" customFormat="1" ht="31.5" hidden="1">
      <c r="A15" s="777" t="s">
        <v>870</v>
      </c>
      <c r="B15" s="778" t="s">
        <v>1197</v>
      </c>
      <c r="C15" s="6" t="s">
        <v>675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145"/>
      <c r="AG15" s="145"/>
      <c r="AH15" s="560" t="s">
        <v>792</v>
      </c>
      <c r="AI15" s="689" t="s">
        <v>306</v>
      </c>
      <c r="AJ15" s="116" t="s">
        <v>306</v>
      </c>
    </row>
    <row r="16" spans="1:36" s="8" customFormat="1" ht="30" hidden="1">
      <c r="A16" s="770" t="s">
        <v>705</v>
      </c>
      <c r="B16" s="151" t="s">
        <v>80</v>
      </c>
      <c r="C16" s="152" t="s">
        <v>675</v>
      </c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621" t="s">
        <v>333</v>
      </c>
      <c r="AG16" s="41" t="s">
        <v>1217</v>
      </c>
      <c r="AH16" s="145" t="s">
        <v>276</v>
      </c>
      <c r="AI16" s="150" t="s">
        <v>306</v>
      </c>
      <c r="AJ16" s="116" t="s">
        <v>306</v>
      </c>
    </row>
    <row r="17" spans="1:36" s="8" customFormat="1" ht="15.75">
      <c r="A17" s="770" t="s">
        <v>206</v>
      </c>
      <c r="B17" s="151" t="s">
        <v>80</v>
      </c>
      <c r="C17" s="152" t="s">
        <v>205</v>
      </c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45">
        <v>0</v>
      </c>
      <c r="Q17" s="33">
        <v>0</v>
      </c>
      <c r="R17" s="145">
        <v>10</v>
      </c>
      <c r="S17" s="145">
        <v>1.47</v>
      </c>
      <c r="T17" s="33">
        <v>20</v>
      </c>
      <c r="U17" s="33">
        <v>0</v>
      </c>
      <c r="V17" s="33">
        <v>20</v>
      </c>
      <c r="W17" s="33">
        <v>3.09</v>
      </c>
      <c r="X17" s="33">
        <v>20</v>
      </c>
      <c r="Y17" s="33">
        <v>0</v>
      </c>
      <c r="Z17" s="33">
        <v>5</v>
      </c>
      <c r="AA17" s="33">
        <v>0.49</v>
      </c>
      <c r="AB17" s="33"/>
      <c r="AC17" s="33"/>
      <c r="AD17" s="33"/>
      <c r="AE17" s="33"/>
      <c r="AF17" s="145" t="s">
        <v>81</v>
      </c>
      <c r="AG17" s="562">
        <v>10</v>
      </c>
      <c r="AH17" s="145" t="s">
        <v>78</v>
      </c>
      <c r="AI17" s="150" t="s">
        <v>306</v>
      </c>
      <c r="AJ17" s="116" t="s">
        <v>103</v>
      </c>
    </row>
    <row r="18" spans="1:36" s="8" customFormat="1" ht="15.75">
      <c r="A18" s="770" t="s">
        <v>207</v>
      </c>
      <c r="B18" s="151" t="s">
        <v>80</v>
      </c>
      <c r="C18" s="152" t="s">
        <v>33</v>
      </c>
      <c r="D18" s="689">
        <v>24</v>
      </c>
      <c r="E18" s="689"/>
      <c r="F18" s="689"/>
      <c r="G18" s="689"/>
      <c r="H18" s="689">
        <v>90</v>
      </c>
      <c r="I18" s="689">
        <v>91</v>
      </c>
      <c r="J18" s="689">
        <v>90</v>
      </c>
      <c r="K18" s="689">
        <v>5.58</v>
      </c>
      <c r="L18" s="152"/>
      <c r="M18" s="152"/>
      <c r="N18" s="152"/>
      <c r="O18" s="152"/>
      <c r="P18" s="145">
        <v>20</v>
      </c>
      <c r="Q18" s="145">
        <v>10</v>
      </c>
      <c r="R18" s="145">
        <v>10</v>
      </c>
      <c r="S18" s="145">
        <v>2.35</v>
      </c>
      <c r="T18" s="206">
        <v>18</v>
      </c>
      <c r="U18" s="206">
        <v>0</v>
      </c>
      <c r="V18" s="206">
        <v>18</v>
      </c>
      <c r="W18" s="206">
        <v>2.11</v>
      </c>
      <c r="X18" s="68">
        <v>40</v>
      </c>
      <c r="Y18" s="68">
        <v>2</v>
      </c>
      <c r="Z18" s="68">
        <v>20</v>
      </c>
      <c r="AA18" s="68">
        <v>1.57</v>
      </c>
      <c r="AB18" s="68"/>
      <c r="AC18" s="68"/>
      <c r="AD18" s="68"/>
      <c r="AE18" s="68"/>
      <c r="AF18" s="145" t="s">
        <v>81</v>
      </c>
      <c r="AG18" s="562">
        <v>10</v>
      </c>
      <c r="AH18" s="145" t="s">
        <v>78</v>
      </c>
      <c r="AI18" s="150" t="s">
        <v>306</v>
      </c>
      <c r="AJ18" s="116" t="s">
        <v>103</v>
      </c>
    </row>
    <row r="19" spans="1:36" s="8" customFormat="1" ht="15.75">
      <c r="A19" s="770" t="s">
        <v>204</v>
      </c>
      <c r="B19" s="151" t="s">
        <v>76</v>
      </c>
      <c r="C19" s="152" t="s">
        <v>39</v>
      </c>
      <c r="D19" s="689"/>
      <c r="E19" s="689"/>
      <c r="F19" s="689"/>
      <c r="G19" s="689"/>
      <c r="H19" s="689">
        <v>90</v>
      </c>
      <c r="I19" s="689">
        <v>30</v>
      </c>
      <c r="J19" s="689">
        <v>90</v>
      </c>
      <c r="K19" s="689">
        <v>5.58</v>
      </c>
      <c r="L19" s="152"/>
      <c r="M19" s="152"/>
      <c r="N19" s="152"/>
      <c r="O19" s="152"/>
      <c r="P19" s="101">
        <v>100</v>
      </c>
      <c r="Q19" s="145">
        <v>0</v>
      </c>
      <c r="R19" s="101">
        <v>100</v>
      </c>
      <c r="S19" s="101">
        <v>11.73</v>
      </c>
      <c r="T19" s="33">
        <v>18</v>
      </c>
      <c r="U19" s="33">
        <v>0</v>
      </c>
      <c r="V19" s="33">
        <v>18</v>
      </c>
      <c r="W19" s="33">
        <v>2.11</v>
      </c>
      <c r="X19" s="33">
        <v>100</v>
      </c>
      <c r="Y19" s="33">
        <v>4</v>
      </c>
      <c r="Z19" s="33">
        <v>20</v>
      </c>
      <c r="AA19" s="33">
        <v>1.57</v>
      </c>
      <c r="AB19" s="562">
        <v>120</v>
      </c>
      <c r="AC19" s="562">
        <v>0</v>
      </c>
      <c r="AD19" s="562">
        <v>0</v>
      </c>
      <c r="AE19" s="562">
        <v>0</v>
      </c>
      <c r="AF19" s="145" t="s">
        <v>73</v>
      </c>
      <c r="AG19" s="562">
        <v>10</v>
      </c>
      <c r="AH19" s="42" t="s">
        <v>1218</v>
      </c>
      <c r="AI19" s="150" t="s">
        <v>306</v>
      </c>
      <c r="AJ19" s="116" t="s">
        <v>103</v>
      </c>
    </row>
    <row r="20" spans="1:36" s="8" customFormat="1" ht="15.75">
      <c r="A20" s="770" t="s">
        <v>706</v>
      </c>
      <c r="B20" s="151" t="s">
        <v>79</v>
      </c>
      <c r="C20" s="152" t="s">
        <v>675</v>
      </c>
      <c r="D20" s="689"/>
      <c r="E20" s="689"/>
      <c r="F20" s="689"/>
      <c r="G20" s="689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593">
        <v>0</v>
      </c>
      <c r="AC20" s="635">
        <v>0</v>
      </c>
      <c r="AD20" s="593">
        <v>5</v>
      </c>
      <c r="AE20" s="635">
        <v>0.47</v>
      </c>
      <c r="AF20" s="621" t="s">
        <v>333</v>
      </c>
      <c r="AG20" s="562">
        <v>10</v>
      </c>
      <c r="AH20" s="145" t="s">
        <v>276</v>
      </c>
      <c r="AI20" s="150" t="s">
        <v>306</v>
      </c>
      <c r="AJ20" s="116" t="s">
        <v>306</v>
      </c>
    </row>
    <row r="21" spans="1:36" s="8" customFormat="1" ht="15.75">
      <c r="A21" s="770" t="s">
        <v>201</v>
      </c>
      <c r="B21" s="151" t="s">
        <v>79</v>
      </c>
      <c r="C21" s="152" t="s">
        <v>50</v>
      </c>
      <c r="D21" s="689"/>
      <c r="E21" s="689"/>
      <c r="F21" s="689"/>
      <c r="G21" s="689"/>
      <c r="H21" s="726">
        <v>90</v>
      </c>
      <c r="I21" s="726">
        <v>80</v>
      </c>
      <c r="J21" s="726">
        <v>50</v>
      </c>
      <c r="K21" s="726">
        <v>3.96</v>
      </c>
      <c r="L21" s="131"/>
      <c r="M21" s="131"/>
      <c r="N21" s="131"/>
      <c r="O21" s="131"/>
      <c r="P21" s="101">
        <v>30</v>
      </c>
      <c r="Q21" s="33">
        <v>0</v>
      </c>
      <c r="R21" s="101">
        <v>20</v>
      </c>
      <c r="S21" s="101">
        <v>4.31</v>
      </c>
      <c r="T21" s="33">
        <v>30</v>
      </c>
      <c r="U21" s="33">
        <v>0</v>
      </c>
      <c r="V21" s="33">
        <v>21</v>
      </c>
      <c r="W21" s="33">
        <v>3.07</v>
      </c>
      <c r="X21" s="33">
        <v>20</v>
      </c>
      <c r="Y21" s="33">
        <v>4</v>
      </c>
      <c r="Z21" s="33">
        <v>5</v>
      </c>
      <c r="AA21" s="33">
        <v>0.41</v>
      </c>
      <c r="AB21" s="593">
        <v>50</v>
      </c>
      <c r="AC21" s="739">
        <v>0</v>
      </c>
      <c r="AD21" s="593">
        <v>60</v>
      </c>
      <c r="AE21" s="557">
        <v>4.75</v>
      </c>
      <c r="AF21" s="145" t="s">
        <v>12</v>
      </c>
      <c r="AG21" s="562">
        <v>10</v>
      </c>
      <c r="AH21" s="42" t="s">
        <v>202</v>
      </c>
      <c r="AI21" s="150" t="s">
        <v>306</v>
      </c>
      <c r="AJ21" s="773" t="s">
        <v>327</v>
      </c>
    </row>
    <row r="22" spans="1:36" s="8" customFormat="1" ht="15.75">
      <c r="A22" s="770" t="s">
        <v>707</v>
      </c>
      <c r="B22" s="151" t="s">
        <v>79</v>
      </c>
      <c r="C22" s="152" t="s">
        <v>708</v>
      </c>
      <c r="D22" s="689"/>
      <c r="E22" s="689"/>
      <c r="F22" s="689"/>
      <c r="G22" s="689"/>
      <c r="H22" s="726"/>
      <c r="I22" s="726"/>
      <c r="J22" s="726">
        <v>90</v>
      </c>
      <c r="K22" s="726">
        <v>7.13</v>
      </c>
      <c r="L22" s="152"/>
      <c r="M22" s="152"/>
      <c r="N22" s="152"/>
      <c r="O22" s="152"/>
      <c r="P22" s="101">
        <v>10</v>
      </c>
      <c r="Q22" s="33">
        <v>0</v>
      </c>
      <c r="R22" s="101">
        <v>20</v>
      </c>
      <c r="S22" s="101">
        <v>4.31</v>
      </c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563" t="s">
        <v>333</v>
      </c>
      <c r="AG22" s="562">
        <v>10</v>
      </c>
      <c r="AH22" s="42" t="s">
        <v>202</v>
      </c>
      <c r="AI22" s="150" t="s">
        <v>306</v>
      </c>
      <c r="AJ22" s="773" t="s">
        <v>306</v>
      </c>
    </row>
    <row r="23" spans="1:36" s="3" customFormat="1" ht="15.75">
      <c r="A23" s="770" t="s">
        <v>576</v>
      </c>
      <c r="B23" s="151" t="s">
        <v>79</v>
      </c>
      <c r="C23" s="152" t="s">
        <v>577</v>
      </c>
      <c r="D23" s="689">
        <v>24</v>
      </c>
      <c r="E23" s="689">
        <v>18</v>
      </c>
      <c r="F23" s="689"/>
      <c r="G23" s="689"/>
      <c r="H23" s="689">
        <v>90</v>
      </c>
      <c r="I23" s="689">
        <v>91</v>
      </c>
      <c r="J23" s="689">
        <v>50</v>
      </c>
      <c r="K23" s="689">
        <v>3.1</v>
      </c>
      <c r="L23" s="33"/>
      <c r="M23" s="33"/>
      <c r="N23" s="33"/>
      <c r="O23" s="33"/>
      <c r="P23" s="101">
        <v>60</v>
      </c>
      <c r="Q23" s="33">
        <v>5</v>
      </c>
      <c r="R23" s="101">
        <v>75</v>
      </c>
      <c r="S23" s="101">
        <v>11.93</v>
      </c>
      <c r="T23" s="206">
        <v>26</v>
      </c>
      <c r="U23" s="206">
        <v>0</v>
      </c>
      <c r="V23" s="206">
        <v>26</v>
      </c>
      <c r="W23" s="206">
        <v>2.94</v>
      </c>
      <c r="X23" s="623"/>
      <c r="Y23" s="623"/>
      <c r="Z23" s="623"/>
      <c r="AA23" s="623"/>
      <c r="AB23" s="562">
        <v>80</v>
      </c>
      <c r="AC23" s="575">
        <v>0</v>
      </c>
      <c r="AD23" s="562">
        <v>60</v>
      </c>
      <c r="AE23" s="578">
        <v>4.75</v>
      </c>
      <c r="AF23" s="145" t="s">
        <v>71</v>
      </c>
      <c r="AG23" s="562">
        <v>10</v>
      </c>
      <c r="AH23" s="42"/>
      <c r="AI23" s="150" t="s">
        <v>306</v>
      </c>
      <c r="AJ23" s="116" t="s">
        <v>104</v>
      </c>
    </row>
    <row r="24" spans="1:36" s="3" customFormat="1" ht="31.5">
      <c r="A24" s="770" t="s">
        <v>709</v>
      </c>
      <c r="B24" s="152" t="s">
        <v>710</v>
      </c>
      <c r="C24" s="152" t="s">
        <v>711</v>
      </c>
      <c r="D24" s="689"/>
      <c r="E24" s="689"/>
      <c r="F24" s="689"/>
      <c r="G24" s="689"/>
      <c r="H24" s="689">
        <v>9</v>
      </c>
      <c r="I24" s="689">
        <v>10</v>
      </c>
      <c r="J24" s="689">
        <v>9</v>
      </c>
      <c r="K24" s="689">
        <v>0.5</v>
      </c>
      <c r="L24" s="152"/>
      <c r="M24" s="152"/>
      <c r="N24" s="152"/>
      <c r="O24" s="152"/>
      <c r="P24" s="101">
        <v>0</v>
      </c>
      <c r="Q24" s="101">
        <v>0</v>
      </c>
      <c r="R24" s="101">
        <v>30</v>
      </c>
      <c r="S24" s="101">
        <v>4.4</v>
      </c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45" t="s">
        <v>15</v>
      </c>
      <c r="AG24" s="562"/>
      <c r="AH24" s="790"/>
      <c r="AI24" s="150" t="s">
        <v>306</v>
      </c>
      <c r="AJ24" s="773" t="s">
        <v>306</v>
      </c>
    </row>
    <row r="25" spans="1:36" ht="50.25" customHeight="1" hidden="1">
      <c r="A25" s="770" t="s">
        <v>1205</v>
      </c>
      <c r="B25" s="152" t="s">
        <v>1206</v>
      </c>
      <c r="C25" s="152" t="s">
        <v>1207</v>
      </c>
      <c r="D25" s="689"/>
      <c r="E25" s="689"/>
      <c r="F25" s="689"/>
      <c r="G25" s="689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779"/>
      <c r="Y25" s="779"/>
      <c r="Z25" s="152"/>
      <c r="AA25" s="152"/>
      <c r="AB25" s="152"/>
      <c r="AC25" s="152"/>
      <c r="AD25" s="152"/>
      <c r="AE25" s="152"/>
      <c r="AF25" s="33" t="s">
        <v>1208</v>
      </c>
      <c r="AG25" s="562">
        <v>20</v>
      </c>
      <c r="AH25" s="33" t="s">
        <v>86</v>
      </c>
      <c r="AI25" s="145" t="s">
        <v>918</v>
      </c>
      <c r="AJ25" s="116" t="s">
        <v>918</v>
      </c>
    </row>
    <row r="26" spans="1:36" s="8" customFormat="1" ht="15.75">
      <c r="A26" s="772"/>
      <c r="B26" s="152" t="s">
        <v>79</v>
      </c>
      <c r="C26" s="152" t="s">
        <v>39</v>
      </c>
      <c r="D26" s="689"/>
      <c r="E26" s="689">
        <v>140</v>
      </c>
      <c r="F26" s="689"/>
      <c r="G26" s="689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45" t="s">
        <v>15</v>
      </c>
      <c r="AG26" s="562" t="s">
        <v>865</v>
      </c>
      <c r="AH26" s="145" t="s">
        <v>13</v>
      </c>
      <c r="AI26" s="150"/>
      <c r="AJ26" s="116" t="s">
        <v>110</v>
      </c>
    </row>
    <row r="27" spans="1:36" s="8" customFormat="1" ht="31.5" hidden="1">
      <c r="A27" s="770" t="s">
        <v>899</v>
      </c>
      <c r="B27" s="726" t="s">
        <v>1209</v>
      </c>
      <c r="C27" s="560" t="s">
        <v>1210</v>
      </c>
      <c r="D27" s="689"/>
      <c r="E27" s="689"/>
      <c r="F27" s="689"/>
      <c r="G27" s="689"/>
      <c r="H27" s="560"/>
      <c r="I27" s="560"/>
      <c r="J27" s="560"/>
      <c r="K27" s="560"/>
      <c r="L27" s="560"/>
      <c r="M27" s="560"/>
      <c r="N27" s="560"/>
      <c r="O27" s="560"/>
      <c r="P27" s="560"/>
      <c r="Q27" s="560"/>
      <c r="R27" s="560"/>
      <c r="S27" s="560"/>
      <c r="T27" s="560"/>
      <c r="U27" s="560"/>
      <c r="V27" s="560"/>
      <c r="W27" s="560"/>
      <c r="X27" s="560"/>
      <c r="Y27" s="560"/>
      <c r="Z27" s="560"/>
      <c r="AA27" s="560"/>
      <c r="AB27" s="560"/>
      <c r="AC27" s="560"/>
      <c r="AD27" s="560"/>
      <c r="AE27" s="560"/>
      <c r="AF27" s="145" t="s">
        <v>15</v>
      </c>
      <c r="AG27" s="562" t="s">
        <v>1129</v>
      </c>
      <c r="AH27" s="560" t="s">
        <v>297</v>
      </c>
      <c r="AI27" s="560" t="s">
        <v>306</v>
      </c>
      <c r="AJ27" s="780" t="s">
        <v>306</v>
      </c>
    </row>
    <row r="28" spans="1:36" s="8" customFormat="1" ht="31.5">
      <c r="A28" s="770" t="s">
        <v>203</v>
      </c>
      <c r="B28" s="152" t="s">
        <v>208</v>
      </c>
      <c r="C28" s="152" t="s">
        <v>75</v>
      </c>
      <c r="D28" s="689"/>
      <c r="E28" s="689"/>
      <c r="F28" s="689"/>
      <c r="G28" s="689"/>
      <c r="H28" s="131"/>
      <c r="I28" s="131"/>
      <c r="J28" s="131"/>
      <c r="K28" s="131"/>
      <c r="L28" s="131"/>
      <c r="M28" s="131"/>
      <c r="N28" s="131"/>
      <c r="O28" s="131"/>
      <c r="P28" s="101">
        <v>0</v>
      </c>
      <c r="Q28" s="145">
        <v>0</v>
      </c>
      <c r="R28" s="101">
        <v>1</v>
      </c>
      <c r="S28" s="101">
        <v>2.96</v>
      </c>
      <c r="T28" s="33">
        <v>22</v>
      </c>
      <c r="U28" s="33">
        <v>0</v>
      </c>
      <c r="V28" s="33">
        <v>22</v>
      </c>
      <c r="W28" s="33">
        <v>1.82</v>
      </c>
      <c r="X28" s="131"/>
      <c r="Y28" s="131"/>
      <c r="Z28" s="131"/>
      <c r="AA28" s="131"/>
      <c r="AB28" s="131"/>
      <c r="AC28" s="131"/>
      <c r="AD28" s="131"/>
      <c r="AE28" s="131"/>
      <c r="AF28" s="145" t="s">
        <v>87</v>
      </c>
      <c r="AG28" s="562" t="s">
        <v>865</v>
      </c>
      <c r="AH28" s="145" t="s">
        <v>13</v>
      </c>
      <c r="AI28" s="150" t="s">
        <v>306</v>
      </c>
      <c r="AJ28" s="116" t="s">
        <v>328</v>
      </c>
    </row>
    <row r="29" spans="1:36" s="8" customFormat="1" ht="78.75">
      <c r="A29" s="770" t="s">
        <v>793</v>
      </c>
      <c r="B29" s="152" t="s">
        <v>1219</v>
      </c>
      <c r="C29" s="87" t="s">
        <v>795</v>
      </c>
      <c r="D29" s="689">
        <v>3</v>
      </c>
      <c r="E29" s="689">
        <v>0</v>
      </c>
      <c r="F29" s="689">
        <v>11</v>
      </c>
      <c r="G29" s="689">
        <v>2.68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212"/>
      <c r="AC29" s="212"/>
      <c r="AD29" s="212"/>
      <c r="AE29" s="212"/>
      <c r="AF29" s="148"/>
      <c r="AG29" s="562">
        <v>3</v>
      </c>
      <c r="AH29" s="145"/>
      <c r="AI29" s="145" t="s">
        <v>610</v>
      </c>
      <c r="AJ29" s="116" t="s">
        <v>610</v>
      </c>
    </row>
    <row r="30" spans="1:36" ht="16.5" thickBot="1">
      <c r="A30" s="781"/>
      <c r="B30" s="1255" t="s">
        <v>14</v>
      </c>
      <c r="C30" s="1255"/>
      <c r="D30" s="767">
        <f>SUM(D17:D29)</f>
        <v>51</v>
      </c>
      <c r="E30" s="767">
        <f aca="true" t="shared" si="1" ref="E30:AE30">SUM(E17:E29)</f>
        <v>158</v>
      </c>
      <c r="F30" s="767">
        <f t="shared" si="1"/>
        <v>11</v>
      </c>
      <c r="G30" s="767">
        <f t="shared" si="1"/>
        <v>2.68</v>
      </c>
      <c r="H30" s="767">
        <f t="shared" si="1"/>
        <v>369</v>
      </c>
      <c r="I30" s="767">
        <f t="shared" si="1"/>
        <v>302</v>
      </c>
      <c r="J30" s="767">
        <f t="shared" si="1"/>
        <v>379</v>
      </c>
      <c r="K30" s="767">
        <f t="shared" si="1"/>
        <v>25.85</v>
      </c>
      <c r="L30" s="767">
        <f t="shared" si="1"/>
        <v>0</v>
      </c>
      <c r="M30" s="767">
        <f t="shared" si="1"/>
        <v>0</v>
      </c>
      <c r="N30" s="767">
        <f t="shared" si="1"/>
        <v>0</v>
      </c>
      <c r="O30" s="767">
        <f t="shared" si="1"/>
        <v>0</v>
      </c>
      <c r="P30" s="767">
        <f t="shared" si="1"/>
        <v>220</v>
      </c>
      <c r="Q30" s="767">
        <f t="shared" si="1"/>
        <v>15</v>
      </c>
      <c r="R30" s="767">
        <f t="shared" si="1"/>
        <v>266</v>
      </c>
      <c r="S30" s="767">
        <f t="shared" si="1"/>
        <v>43.459999999999994</v>
      </c>
      <c r="T30" s="767">
        <f t="shared" si="1"/>
        <v>134</v>
      </c>
      <c r="U30" s="767">
        <f t="shared" si="1"/>
        <v>0</v>
      </c>
      <c r="V30" s="767">
        <f t="shared" si="1"/>
        <v>125</v>
      </c>
      <c r="W30" s="767">
        <f t="shared" si="1"/>
        <v>15.139999999999999</v>
      </c>
      <c r="X30" s="767">
        <f t="shared" si="1"/>
        <v>180</v>
      </c>
      <c r="Y30" s="767">
        <f t="shared" si="1"/>
        <v>10</v>
      </c>
      <c r="Z30" s="767">
        <f t="shared" si="1"/>
        <v>50</v>
      </c>
      <c r="AA30" s="767">
        <f t="shared" si="1"/>
        <v>4.04</v>
      </c>
      <c r="AB30" s="767">
        <f t="shared" si="1"/>
        <v>250</v>
      </c>
      <c r="AC30" s="767">
        <f t="shared" si="1"/>
        <v>0</v>
      </c>
      <c r="AD30" s="767">
        <f t="shared" si="1"/>
        <v>125</v>
      </c>
      <c r="AE30" s="767">
        <f t="shared" si="1"/>
        <v>9.969999999999999</v>
      </c>
      <c r="AF30" s="768"/>
      <c r="AG30" s="768"/>
      <c r="AH30" s="768"/>
      <c r="AI30" s="768"/>
      <c r="AJ30" s="769"/>
    </row>
    <row r="31" spans="1:36" ht="16.5" thickBot="1">
      <c r="A31" s="782"/>
      <c r="B31" s="1240" t="s">
        <v>17</v>
      </c>
      <c r="C31" s="1240"/>
      <c r="D31" s="162">
        <f>SUM(D14,D30)</f>
        <v>124</v>
      </c>
      <c r="E31" s="162">
        <f aca="true" t="shared" si="2" ref="E31:AE31">SUM(E14,E30)</f>
        <v>184</v>
      </c>
      <c r="F31" s="162">
        <f t="shared" si="2"/>
        <v>11</v>
      </c>
      <c r="G31" s="162">
        <f t="shared" si="2"/>
        <v>2.68</v>
      </c>
      <c r="H31" s="162">
        <f t="shared" si="2"/>
        <v>479</v>
      </c>
      <c r="I31" s="162">
        <f t="shared" si="2"/>
        <v>404</v>
      </c>
      <c r="J31" s="162">
        <f t="shared" si="2"/>
        <v>489</v>
      </c>
      <c r="K31" s="162">
        <f t="shared" si="2"/>
        <v>35.77</v>
      </c>
      <c r="L31" s="162">
        <f t="shared" si="2"/>
        <v>53</v>
      </c>
      <c r="M31" s="162">
        <f t="shared" si="2"/>
        <v>0</v>
      </c>
      <c r="N31" s="162">
        <f t="shared" si="2"/>
        <v>0</v>
      </c>
      <c r="O31" s="162">
        <f t="shared" si="2"/>
        <v>0</v>
      </c>
      <c r="P31" s="162">
        <f t="shared" si="2"/>
        <v>226</v>
      </c>
      <c r="Q31" s="162">
        <f t="shared" si="2"/>
        <v>17</v>
      </c>
      <c r="R31" s="162">
        <f t="shared" si="2"/>
        <v>290</v>
      </c>
      <c r="S31" s="162">
        <f t="shared" si="2"/>
        <v>53.099999999999994</v>
      </c>
      <c r="T31" s="162">
        <f t="shared" si="2"/>
        <v>164</v>
      </c>
      <c r="U31" s="162">
        <f t="shared" si="2"/>
        <v>0</v>
      </c>
      <c r="V31" s="162">
        <f t="shared" si="2"/>
        <v>149</v>
      </c>
      <c r="W31" s="162">
        <f t="shared" si="2"/>
        <v>21.259999999999998</v>
      </c>
      <c r="X31" s="162">
        <f t="shared" si="2"/>
        <v>197</v>
      </c>
      <c r="Y31" s="162">
        <f t="shared" si="2"/>
        <v>10</v>
      </c>
      <c r="Z31" s="162">
        <f t="shared" si="2"/>
        <v>53</v>
      </c>
      <c r="AA31" s="162">
        <f t="shared" si="2"/>
        <v>4.95</v>
      </c>
      <c r="AB31" s="162">
        <f t="shared" si="2"/>
        <v>254</v>
      </c>
      <c r="AC31" s="162">
        <f t="shared" si="2"/>
        <v>0</v>
      </c>
      <c r="AD31" s="162">
        <f t="shared" si="2"/>
        <v>163</v>
      </c>
      <c r="AE31" s="162">
        <f t="shared" si="2"/>
        <v>16.24</v>
      </c>
      <c r="AF31" s="38"/>
      <c r="AG31" s="38"/>
      <c r="AH31" s="38"/>
      <c r="AI31" s="37"/>
      <c r="AJ31" s="39"/>
    </row>
    <row r="32" ht="15.75">
      <c r="B32" s="19"/>
    </row>
  </sheetData>
  <sheetProtection/>
  <mergeCells count="37">
    <mergeCell ref="AJ4:AJ5"/>
    <mergeCell ref="C7:C13"/>
    <mergeCell ref="B14:C14"/>
    <mergeCell ref="B30:C30"/>
    <mergeCell ref="B31:C31"/>
    <mergeCell ref="AB4:AC4"/>
    <mergeCell ref="AD4:AE4"/>
    <mergeCell ref="AF4:AF5"/>
    <mergeCell ref="AG4:AG5"/>
    <mergeCell ref="AH4:AH5"/>
    <mergeCell ref="AI4:AI5"/>
    <mergeCell ref="P4:Q4"/>
    <mergeCell ref="R4:S4"/>
    <mergeCell ref="T4:U4"/>
    <mergeCell ref="V4:W4"/>
    <mergeCell ref="X4:Y4"/>
    <mergeCell ref="Z4:AA4"/>
    <mergeCell ref="AF3:AJ3"/>
    <mergeCell ref="A4:A5"/>
    <mergeCell ref="B4:B5"/>
    <mergeCell ref="C4:C5"/>
    <mergeCell ref="D4:E4"/>
    <mergeCell ref="F4:G4"/>
    <mergeCell ref="H4:I4"/>
    <mergeCell ref="J4:K4"/>
    <mergeCell ref="L4:M4"/>
    <mergeCell ref="N4:O4"/>
    <mergeCell ref="A1:AJ1"/>
    <mergeCell ref="A2:AJ2"/>
    <mergeCell ref="A3:C3"/>
    <mergeCell ref="D3:G3"/>
    <mergeCell ref="H3:K3"/>
    <mergeCell ref="L3:O3"/>
    <mergeCell ref="P3:S3"/>
    <mergeCell ref="T3:W3"/>
    <mergeCell ref="X3:AA3"/>
    <mergeCell ref="AB3:AE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29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5"/>
  <cols>
    <col min="1" max="1" width="15.421875" style="4" customWidth="1"/>
    <col min="2" max="2" width="20.7109375" style="1" customWidth="1"/>
    <col min="3" max="3" width="19.421875" style="10" customWidth="1"/>
    <col min="4" max="31" width="6.421875" style="10" customWidth="1"/>
    <col min="32" max="32" width="11.28125" style="4" customWidth="1"/>
    <col min="33" max="33" width="20.7109375" style="4" customWidth="1"/>
    <col min="34" max="34" width="36.00390625" style="13" customWidth="1"/>
    <col min="35" max="35" width="17.8515625" style="3" customWidth="1"/>
    <col min="36" max="36" width="35.8515625" style="3" customWidth="1"/>
    <col min="37" max="37" width="2.7109375" style="4" hidden="1" customWidth="1"/>
    <col min="38" max="16384" width="9.140625" style="4" customWidth="1"/>
  </cols>
  <sheetData>
    <row r="1" spans="1:37" s="1" customFormat="1" ht="16.5" thickBot="1">
      <c r="A1" s="1225" t="s">
        <v>65</v>
      </c>
      <c r="B1" s="1226"/>
      <c r="C1" s="1226"/>
      <c r="D1" s="1226"/>
      <c r="E1" s="1226"/>
      <c r="F1" s="1226"/>
      <c r="G1" s="1226"/>
      <c r="H1" s="1226"/>
      <c r="I1" s="1226"/>
      <c r="J1" s="1226"/>
      <c r="K1" s="1226"/>
      <c r="L1" s="1226"/>
      <c r="M1" s="1226"/>
      <c r="N1" s="1226"/>
      <c r="O1" s="1226"/>
      <c r="P1" s="1226"/>
      <c r="Q1" s="1226"/>
      <c r="R1" s="1226"/>
      <c r="S1" s="1226"/>
      <c r="T1" s="1226"/>
      <c r="U1" s="1226"/>
      <c r="V1" s="1226"/>
      <c r="W1" s="1226"/>
      <c r="X1" s="1226"/>
      <c r="Y1" s="1226"/>
      <c r="Z1" s="1226"/>
      <c r="AA1" s="1226"/>
      <c r="AB1" s="1226"/>
      <c r="AC1" s="1226"/>
      <c r="AD1" s="1226"/>
      <c r="AE1" s="1226"/>
      <c r="AF1" s="1226"/>
      <c r="AG1" s="1226"/>
      <c r="AH1" s="1226"/>
      <c r="AI1" s="1226"/>
      <c r="AJ1" s="1226"/>
      <c r="AK1" s="1227"/>
    </row>
    <row r="2" spans="1:37" s="1" customFormat="1" ht="16.5" thickBot="1">
      <c r="A2" s="1235" t="s">
        <v>550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  <c r="N2" s="1259"/>
      <c r="O2" s="1259"/>
      <c r="P2" s="1259"/>
      <c r="Q2" s="1259"/>
      <c r="R2" s="1259"/>
      <c r="S2" s="1259"/>
      <c r="T2" s="1259"/>
      <c r="U2" s="1259"/>
      <c r="V2" s="1259"/>
      <c r="W2" s="1259"/>
      <c r="X2" s="1259"/>
      <c r="Y2" s="1259"/>
      <c r="Z2" s="1259"/>
      <c r="AA2" s="1259"/>
      <c r="AB2" s="1259"/>
      <c r="AC2" s="1259"/>
      <c r="AD2" s="1259"/>
      <c r="AE2" s="1259"/>
      <c r="AF2" s="1259"/>
      <c r="AG2" s="1259"/>
      <c r="AH2" s="1259"/>
      <c r="AI2" s="1259"/>
      <c r="AJ2" s="1259"/>
      <c r="AK2" s="1260"/>
    </row>
    <row r="3" spans="1:37" s="1" customFormat="1" ht="18.75" customHeight="1" thickBot="1">
      <c r="A3" s="732"/>
      <c r="B3" s="733"/>
      <c r="C3" s="733"/>
      <c r="D3" s="1114" t="s">
        <v>1105</v>
      </c>
      <c r="E3" s="1115"/>
      <c r="F3" s="1115"/>
      <c r="G3" s="1116"/>
      <c r="H3" s="1114" t="s">
        <v>1106</v>
      </c>
      <c r="I3" s="1115"/>
      <c r="J3" s="1115"/>
      <c r="K3" s="1116"/>
      <c r="L3" s="1114" t="s">
        <v>1107</v>
      </c>
      <c r="M3" s="1115"/>
      <c r="N3" s="1115"/>
      <c r="O3" s="1116"/>
      <c r="P3" s="1114" t="s">
        <v>1108</v>
      </c>
      <c r="Q3" s="1115"/>
      <c r="R3" s="1115"/>
      <c r="S3" s="1116"/>
      <c r="T3" s="1114" t="s">
        <v>1109</v>
      </c>
      <c r="U3" s="1115"/>
      <c r="V3" s="1115"/>
      <c r="W3" s="1116"/>
      <c r="X3" s="1114" t="s">
        <v>1110</v>
      </c>
      <c r="Y3" s="1115"/>
      <c r="Z3" s="1115"/>
      <c r="AA3" s="1116"/>
      <c r="AB3" s="1114" t="s">
        <v>1172</v>
      </c>
      <c r="AC3" s="1115"/>
      <c r="AD3" s="1115"/>
      <c r="AE3" s="1116"/>
      <c r="AF3" s="733"/>
      <c r="AG3" s="733"/>
      <c r="AH3" s="733"/>
      <c r="AI3" s="733"/>
      <c r="AJ3" s="734"/>
      <c r="AK3" s="754"/>
    </row>
    <row r="4" spans="1:37" s="7" customFormat="1" ht="15.75" customHeight="1">
      <c r="A4" s="1235" t="s">
        <v>116</v>
      </c>
      <c r="B4" s="1051" t="s">
        <v>43</v>
      </c>
      <c r="C4" s="1051" t="s">
        <v>20</v>
      </c>
      <c r="D4" s="1246" t="s">
        <v>112</v>
      </c>
      <c r="E4" s="1247"/>
      <c r="F4" s="1246" t="s">
        <v>113</v>
      </c>
      <c r="G4" s="1247"/>
      <c r="H4" s="1246" t="s">
        <v>112</v>
      </c>
      <c r="I4" s="1247"/>
      <c r="J4" s="1246" t="s">
        <v>113</v>
      </c>
      <c r="K4" s="1247"/>
      <c r="L4" s="1246" t="s">
        <v>112</v>
      </c>
      <c r="M4" s="1247"/>
      <c r="N4" s="1246" t="s">
        <v>113</v>
      </c>
      <c r="O4" s="1247"/>
      <c r="P4" s="1246" t="s">
        <v>112</v>
      </c>
      <c r="Q4" s="1247"/>
      <c r="R4" s="1246" t="s">
        <v>113</v>
      </c>
      <c r="S4" s="1247"/>
      <c r="T4" s="1246" t="s">
        <v>112</v>
      </c>
      <c r="U4" s="1247"/>
      <c r="V4" s="1246" t="s">
        <v>113</v>
      </c>
      <c r="W4" s="1247"/>
      <c r="X4" s="1246" t="s">
        <v>112</v>
      </c>
      <c r="Y4" s="1247"/>
      <c r="Z4" s="1246" t="s">
        <v>113</v>
      </c>
      <c r="AA4" s="1247"/>
      <c r="AB4" s="1246" t="s">
        <v>112</v>
      </c>
      <c r="AC4" s="1247"/>
      <c r="AD4" s="1246" t="s">
        <v>113</v>
      </c>
      <c r="AE4" s="1247"/>
      <c r="AF4" s="1117" t="s">
        <v>4</v>
      </c>
      <c r="AG4" s="1117" t="s">
        <v>122</v>
      </c>
      <c r="AH4" s="1117" t="s">
        <v>5</v>
      </c>
      <c r="AI4" s="1119" t="s">
        <v>83</v>
      </c>
      <c r="AJ4" s="1121" t="s">
        <v>84</v>
      </c>
      <c r="AK4" s="1248" t="s">
        <v>266</v>
      </c>
    </row>
    <row r="5" spans="1:37" s="7" customFormat="1" ht="110.25" customHeight="1" thickBot="1">
      <c r="A5" s="1236"/>
      <c r="B5" s="1052"/>
      <c r="C5" s="1052"/>
      <c r="D5" s="25" t="s">
        <v>6</v>
      </c>
      <c r="E5" s="25" t="s">
        <v>7</v>
      </c>
      <c r="F5" s="25" t="s">
        <v>6</v>
      </c>
      <c r="G5" s="25" t="s">
        <v>96</v>
      </c>
      <c r="H5" s="25" t="s">
        <v>6</v>
      </c>
      <c r="I5" s="25" t="s">
        <v>7</v>
      </c>
      <c r="J5" s="25" t="s">
        <v>6</v>
      </c>
      <c r="K5" s="25" t="s">
        <v>96</v>
      </c>
      <c r="L5" s="25" t="s">
        <v>6</v>
      </c>
      <c r="M5" s="25" t="s">
        <v>7</v>
      </c>
      <c r="N5" s="25" t="s">
        <v>6</v>
      </c>
      <c r="O5" s="25" t="s">
        <v>96</v>
      </c>
      <c r="P5" s="25" t="s">
        <v>6</v>
      </c>
      <c r="Q5" s="25" t="s">
        <v>7</v>
      </c>
      <c r="R5" s="25" t="s">
        <v>6</v>
      </c>
      <c r="S5" s="25" t="s">
        <v>96</v>
      </c>
      <c r="T5" s="25" t="s">
        <v>6</v>
      </c>
      <c r="U5" s="25" t="s">
        <v>7</v>
      </c>
      <c r="V5" s="25" t="s">
        <v>6</v>
      </c>
      <c r="W5" s="25" t="s">
        <v>96</v>
      </c>
      <c r="X5" s="25" t="s">
        <v>6</v>
      </c>
      <c r="Y5" s="25" t="s">
        <v>7</v>
      </c>
      <c r="Z5" s="25" t="s">
        <v>6</v>
      </c>
      <c r="AA5" s="25" t="s">
        <v>96</v>
      </c>
      <c r="AB5" s="25" t="s">
        <v>6</v>
      </c>
      <c r="AC5" s="25" t="s">
        <v>7</v>
      </c>
      <c r="AD5" s="25" t="s">
        <v>6</v>
      </c>
      <c r="AE5" s="25" t="s">
        <v>96</v>
      </c>
      <c r="AF5" s="1118"/>
      <c r="AG5" s="1118"/>
      <c r="AH5" s="1118"/>
      <c r="AI5" s="1120"/>
      <c r="AJ5" s="1122"/>
      <c r="AK5" s="1231"/>
    </row>
    <row r="6" spans="1:37" s="8" customFormat="1" ht="45">
      <c r="A6" s="770" t="s">
        <v>195</v>
      </c>
      <c r="B6" s="151" t="s">
        <v>74</v>
      </c>
      <c r="C6" s="152" t="s">
        <v>92</v>
      </c>
      <c r="D6" s="33"/>
      <c r="E6" s="33"/>
      <c r="F6" s="33"/>
      <c r="G6" s="33"/>
      <c r="H6" s="33"/>
      <c r="I6" s="33"/>
      <c r="J6" s="33"/>
      <c r="K6" s="33"/>
      <c r="L6" s="726">
        <v>4</v>
      </c>
      <c r="M6" s="726">
        <v>0</v>
      </c>
      <c r="N6" s="726">
        <v>4</v>
      </c>
      <c r="O6" s="726">
        <v>0.75</v>
      </c>
      <c r="P6" s="726"/>
      <c r="Q6" s="726"/>
      <c r="R6" s="726"/>
      <c r="S6" s="726"/>
      <c r="T6" s="557">
        <v>6</v>
      </c>
      <c r="U6" s="593">
        <v>0</v>
      </c>
      <c r="V6" s="593">
        <v>6</v>
      </c>
      <c r="W6" s="557">
        <v>1.48</v>
      </c>
      <c r="X6" s="557"/>
      <c r="Y6" s="557"/>
      <c r="Z6" s="557"/>
      <c r="AA6" s="557"/>
      <c r="AB6" s="33">
        <v>1</v>
      </c>
      <c r="AC6" s="33">
        <v>0</v>
      </c>
      <c r="AD6" s="33">
        <v>9</v>
      </c>
      <c r="AE6" s="40">
        <v>1.5</v>
      </c>
      <c r="AF6" s="145" t="s">
        <v>99</v>
      </c>
      <c r="AG6" s="41" t="s">
        <v>1220</v>
      </c>
      <c r="AH6" s="145" t="s">
        <v>67</v>
      </c>
      <c r="AI6" s="150" t="s">
        <v>306</v>
      </c>
      <c r="AJ6" s="145" t="s">
        <v>108</v>
      </c>
      <c r="AK6" s="718"/>
    </row>
    <row r="7" spans="1:37" s="8" customFormat="1" ht="30">
      <c r="A7" s="771" t="s">
        <v>196</v>
      </c>
      <c r="B7" s="156" t="s">
        <v>66</v>
      </c>
      <c r="C7" s="1200" t="s">
        <v>22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635">
        <v>3</v>
      </c>
      <c r="U7" s="635">
        <v>0</v>
      </c>
      <c r="V7" s="593">
        <v>3</v>
      </c>
      <c r="W7" s="635">
        <v>0.73</v>
      </c>
      <c r="X7" s="787"/>
      <c r="Y7" s="787"/>
      <c r="Z7" s="787"/>
      <c r="AA7" s="787"/>
      <c r="AB7" s="787"/>
      <c r="AC7" s="787"/>
      <c r="AD7" s="787"/>
      <c r="AE7" s="787"/>
      <c r="AF7" s="150" t="s">
        <v>98</v>
      </c>
      <c r="AG7" s="41" t="s">
        <v>1220</v>
      </c>
      <c r="AH7" s="150" t="s">
        <v>67</v>
      </c>
      <c r="AI7" s="150" t="s">
        <v>306</v>
      </c>
      <c r="AJ7" s="150" t="s">
        <v>102</v>
      </c>
      <c r="AK7" s="714"/>
    </row>
    <row r="8" spans="1:37" s="8" customFormat="1" ht="30">
      <c r="A8" s="772" t="s">
        <v>199</v>
      </c>
      <c r="B8" s="35" t="s">
        <v>68</v>
      </c>
      <c r="C8" s="1201"/>
      <c r="D8" s="131"/>
      <c r="E8" s="131"/>
      <c r="F8" s="131"/>
      <c r="G8" s="131"/>
      <c r="H8" s="623">
        <v>4</v>
      </c>
      <c r="I8" s="623">
        <v>4</v>
      </c>
      <c r="J8" s="623">
        <v>0</v>
      </c>
      <c r="K8" s="623">
        <v>0</v>
      </c>
      <c r="L8" s="726">
        <v>1</v>
      </c>
      <c r="M8" s="726">
        <v>0</v>
      </c>
      <c r="N8" s="726">
        <v>2</v>
      </c>
      <c r="O8" s="726">
        <v>0.5</v>
      </c>
      <c r="P8" s="33">
        <v>4</v>
      </c>
      <c r="Q8" s="33"/>
      <c r="R8" s="33">
        <v>1</v>
      </c>
      <c r="S8" s="151">
        <v>0.36</v>
      </c>
      <c r="T8" s="635">
        <v>20</v>
      </c>
      <c r="U8" s="635">
        <v>3</v>
      </c>
      <c r="V8" s="593">
        <v>20</v>
      </c>
      <c r="W8" s="635">
        <v>2.2</v>
      </c>
      <c r="X8" s="635"/>
      <c r="Y8" s="635"/>
      <c r="Z8" s="635"/>
      <c r="AA8" s="635"/>
      <c r="AB8" s="635"/>
      <c r="AC8" s="635"/>
      <c r="AD8" s="635"/>
      <c r="AE8" s="635"/>
      <c r="AF8" s="145" t="s">
        <v>69</v>
      </c>
      <c r="AG8" s="41" t="s">
        <v>1220</v>
      </c>
      <c r="AH8" s="145" t="s">
        <v>70</v>
      </c>
      <c r="AI8" s="150" t="s">
        <v>306</v>
      </c>
      <c r="AJ8" s="145" t="s">
        <v>102</v>
      </c>
      <c r="AK8" s="718"/>
    </row>
    <row r="9" spans="1:37" s="8" customFormat="1" ht="15.75">
      <c r="A9" s="772" t="s">
        <v>200</v>
      </c>
      <c r="B9" s="151" t="s">
        <v>80</v>
      </c>
      <c r="C9" s="1201"/>
      <c r="D9" s="33"/>
      <c r="E9" s="33"/>
      <c r="F9" s="33"/>
      <c r="G9" s="33"/>
      <c r="H9" s="623">
        <v>30</v>
      </c>
      <c r="I9" s="623">
        <v>25</v>
      </c>
      <c r="J9" s="623">
        <v>0</v>
      </c>
      <c r="K9" s="623">
        <v>0</v>
      </c>
      <c r="L9" s="726">
        <v>0</v>
      </c>
      <c r="M9" s="726">
        <v>0</v>
      </c>
      <c r="N9" s="726">
        <v>1</v>
      </c>
      <c r="O9" s="726">
        <v>0.25</v>
      </c>
      <c r="P9" s="726">
        <v>10</v>
      </c>
      <c r="Q9" s="726"/>
      <c r="R9" s="726"/>
      <c r="S9" s="726"/>
      <c r="T9" s="788">
        <v>50</v>
      </c>
      <c r="U9" s="788">
        <v>49</v>
      </c>
      <c r="V9" s="789">
        <v>30</v>
      </c>
      <c r="W9" s="788">
        <v>2.73</v>
      </c>
      <c r="X9" s="788"/>
      <c r="Y9" s="788"/>
      <c r="Z9" s="788"/>
      <c r="AA9" s="788"/>
      <c r="AB9" s="33">
        <v>20</v>
      </c>
      <c r="AC9" s="33">
        <v>19</v>
      </c>
      <c r="AD9" s="33">
        <v>20</v>
      </c>
      <c r="AE9" s="33">
        <v>0.89</v>
      </c>
      <c r="AF9" s="145" t="s">
        <v>81</v>
      </c>
      <c r="AG9" s="41" t="s">
        <v>1221</v>
      </c>
      <c r="AH9" s="145" t="s">
        <v>78</v>
      </c>
      <c r="AI9" s="150" t="s">
        <v>306</v>
      </c>
      <c r="AJ9" s="145" t="s">
        <v>103</v>
      </c>
      <c r="AK9" s="718"/>
    </row>
    <row r="10" spans="1:37" s="8" customFormat="1" ht="15.75">
      <c r="A10" s="772"/>
      <c r="B10" s="151" t="s">
        <v>79</v>
      </c>
      <c r="C10" s="1201"/>
      <c r="D10" s="152"/>
      <c r="E10" s="152"/>
      <c r="F10" s="152"/>
      <c r="G10" s="152"/>
      <c r="H10" s="623">
        <v>4</v>
      </c>
      <c r="I10" s="623">
        <v>4</v>
      </c>
      <c r="J10" s="623">
        <v>0</v>
      </c>
      <c r="K10" s="623">
        <v>0</v>
      </c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45" t="s">
        <v>12</v>
      </c>
      <c r="AG10" s="145"/>
      <c r="AH10" s="145" t="s">
        <v>297</v>
      </c>
      <c r="AI10" s="150" t="s">
        <v>306</v>
      </c>
      <c r="AJ10" s="145"/>
      <c r="AK10" s="718"/>
    </row>
    <row r="11" spans="1:37" s="8" customFormat="1" ht="30" hidden="1">
      <c r="A11" s="772" t="s">
        <v>198</v>
      </c>
      <c r="B11" s="151" t="s">
        <v>197</v>
      </c>
      <c r="C11" s="1201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45" t="s">
        <v>71</v>
      </c>
      <c r="AG11" s="41" t="s">
        <v>1222</v>
      </c>
      <c r="AH11" s="145" t="s">
        <v>72</v>
      </c>
      <c r="AI11" s="150" t="s">
        <v>306</v>
      </c>
      <c r="AJ11" s="152" t="s">
        <v>109</v>
      </c>
      <c r="AK11" s="718"/>
    </row>
    <row r="12" spans="1:37" ht="15.75">
      <c r="A12" s="685"/>
      <c r="B12" s="1027" t="s">
        <v>30</v>
      </c>
      <c r="C12" s="1027"/>
      <c r="D12" s="153">
        <f>SUM(D6:D11)</f>
        <v>0</v>
      </c>
      <c r="E12" s="153">
        <f aca="true" t="shared" si="0" ref="E12:AE12">SUM(E6:E11)</f>
        <v>0</v>
      </c>
      <c r="F12" s="153">
        <f t="shared" si="0"/>
        <v>0</v>
      </c>
      <c r="G12" s="153">
        <f t="shared" si="0"/>
        <v>0</v>
      </c>
      <c r="H12" s="153">
        <f t="shared" si="0"/>
        <v>38</v>
      </c>
      <c r="I12" s="153">
        <f t="shared" si="0"/>
        <v>33</v>
      </c>
      <c r="J12" s="153">
        <f t="shared" si="0"/>
        <v>0</v>
      </c>
      <c r="K12" s="153">
        <f t="shared" si="0"/>
        <v>0</v>
      </c>
      <c r="L12" s="153">
        <f t="shared" si="0"/>
        <v>5</v>
      </c>
      <c r="M12" s="153">
        <f t="shared" si="0"/>
        <v>0</v>
      </c>
      <c r="N12" s="153">
        <f t="shared" si="0"/>
        <v>7</v>
      </c>
      <c r="O12" s="153">
        <f t="shared" si="0"/>
        <v>1.5</v>
      </c>
      <c r="P12" s="153">
        <f t="shared" si="0"/>
        <v>14</v>
      </c>
      <c r="Q12" s="153">
        <f t="shared" si="0"/>
        <v>0</v>
      </c>
      <c r="R12" s="153">
        <f t="shared" si="0"/>
        <v>1</v>
      </c>
      <c r="S12" s="153">
        <f t="shared" si="0"/>
        <v>0.36</v>
      </c>
      <c r="T12" s="153">
        <f t="shared" si="0"/>
        <v>79</v>
      </c>
      <c r="U12" s="153">
        <f t="shared" si="0"/>
        <v>52</v>
      </c>
      <c r="V12" s="153">
        <f t="shared" si="0"/>
        <v>59</v>
      </c>
      <c r="W12" s="153">
        <f t="shared" si="0"/>
        <v>7.140000000000001</v>
      </c>
      <c r="X12" s="153">
        <f t="shared" si="0"/>
        <v>0</v>
      </c>
      <c r="Y12" s="153">
        <f t="shared" si="0"/>
        <v>0</v>
      </c>
      <c r="Z12" s="153">
        <f t="shared" si="0"/>
        <v>0</v>
      </c>
      <c r="AA12" s="153">
        <f t="shared" si="0"/>
        <v>0</v>
      </c>
      <c r="AB12" s="153">
        <f t="shared" si="0"/>
        <v>21</v>
      </c>
      <c r="AC12" s="153">
        <f t="shared" si="0"/>
        <v>19</v>
      </c>
      <c r="AD12" s="153">
        <f t="shared" si="0"/>
        <v>29</v>
      </c>
      <c r="AE12" s="153">
        <f t="shared" si="0"/>
        <v>2.39</v>
      </c>
      <c r="AF12" s="775"/>
      <c r="AG12" s="775"/>
      <c r="AH12" s="775"/>
      <c r="AI12" s="775"/>
      <c r="AJ12" s="775"/>
      <c r="AK12" s="776"/>
    </row>
    <row r="13" spans="1:37" s="8" customFormat="1" ht="15.75">
      <c r="A13" s="770" t="s">
        <v>705</v>
      </c>
      <c r="B13" s="151" t="s">
        <v>80</v>
      </c>
      <c r="C13" s="152" t="s">
        <v>675</v>
      </c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>
        <v>10</v>
      </c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621" t="s">
        <v>333</v>
      </c>
      <c r="AG13" s="67">
        <v>10</v>
      </c>
      <c r="AH13" s="145" t="s">
        <v>276</v>
      </c>
      <c r="AI13" s="150" t="s">
        <v>306</v>
      </c>
      <c r="AJ13" s="145" t="s">
        <v>306</v>
      </c>
      <c r="AK13" s="718"/>
    </row>
    <row r="14" spans="1:37" s="8" customFormat="1" ht="15.75">
      <c r="A14" s="770" t="s">
        <v>206</v>
      </c>
      <c r="B14" s="151" t="s">
        <v>80</v>
      </c>
      <c r="C14" s="152" t="s">
        <v>205</v>
      </c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>
        <v>20</v>
      </c>
      <c r="Q14" s="152"/>
      <c r="R14" s="152"/>
      <c r="S14" s="152"/>
      <c r="T14" s="557">
        <v>20</v>
      </c>
      <c r="U14" s="557"/>
      <c r="V14" s="593">
        <v>50</v>
      </c>
      <c r="W14" s="557">
        <v>4.54</v>
      </c>
      <c r="X14" s="557"/>
      <c r="Y14" s="557"/>
      <c r="Z14" s="557"/>
      <c r="AA14" s="557"/>
      <c r="AB14" s="557"/>
      <c r="AC14" s="557"/>
      <c r="AD14" s="557"/>
      <c r="AE14" s="557"/>
      <c r="AF14" s="145" t="s">
        <v>81</v>
      </c>
      <c r="AG14" s="67">
        <v>10</v>
      </c>
      <c r="AH14" s="145" t="s">
        <v>78</v>
      </c>
      <c r="AI14" s="150" t="s">
        <v>306</v>
      </c>
      <c r="AJ14" s="145" t="s">
        <v>103</v>
      </c>
      <c r="AK14" s="718"/>
    </row>
    <row r="15" spans="1:37" s="8" customFormat="1" ht="15.75">
      <c r="A15" s="770" t="s">
        <v>207</v>
      </c>
      <c r="B15" s="151" t="s">
        <v>80</v>
      </c>
      <c r="C15" s="152" t="s">
        <v>33</v>
      </c>
      <c r="D15" s="152"/>
      <c r="E15" s="152"/>
      <c r="F15" s="152"/>
      <c r="G15" s="152"/>
      <c r="H15" s="623">
        <v>25</v>
      </c>
      <c r="I15" s="623">
        <v>25</v>
      </c>
      <c r="J15" s="623">
        <v>0</v>
      </c>
      <c r="K15" s="623">
        <v>0</v>
      </c>
      <c r="L15" s="152"/>
      <c r="M15" s="152"/>
      <c r="N15" s="152"/>
      <c r="O15" s="152"/>
      <c r="P15" s="152">
        <v>100</v>
      </c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67">
        <v>25</v>
      </c>
      <c r="AC15" s="67">
        <v>25</v>
      </c>
      <c r="AD15" s="68">
        <v>0</v>
      </c>
      <c r="AE15" s="68">
        <v>0</v>
      </c>
      <c r="AF15" s="145" t="s">
        <v>81</v>
      </c>
      <c r="AG15" s="67">
        <v>10</v>
      </c>
      <c r="AH15" s="145" t="s">
        <v>78</v>
      </c>
      <c r="AI15" s="150" t="s">
        <v>306</v>
      </c>
      <c r="AJ15" s="145" t="s">
        <v>103</v>
      </c>
      <c r="AK15" s="718"/>
    </row>
    <row r="16" spans="1:37" s="8" customFormat="1" ht="30">
      <c r="A16" s="770" t="s">
        <v>204</v>
      </c>
      <c r="B16" s="151" t="s">
        <v>76</v>
      </c>
      <c r="C16" s="152" t="s">
        <v>39</v>
      </c>
      <c r="D16" s="131"/>
      <c r="E16" s="131"/>
      <c r="F16" s="131">
        <v>96</v>
      </c>
      <c r="G16" s="9">
        <v>7.35</v>
      </c>
      <c r="H16" s="623">
        <v>100</v>
      </c>
      <c r="I16" s="623">
        <v>0</v>
      </c>
      <c r="J16" s="623">
        <v>0</v>
      </c>
      <c r="K16" s="623">
        <v>0</v>
      </c>
      <c r="L16" s="152"/>
      <c r="M16" s="152"/>
      <c r="N16" s="152"/>
      <c r="O16" s="152"/>
      <c r="P16" s="152">
        <v>70</v>
      </c>
      <c r="Q16" s="152"/>
      <c r="R16" s="152">
        <v>10</v>
      </c>
      <c r="S16" s="152">
        <v>1</v>
      </c>
      <c r="T16" s="557">
        <v>50</v>
      </c>
      <c r="U16" s="557">
        <v>148</v>
      </c>
      <c r="V16" s="593">
        <v>50</v>
      </c>
      <c r="W16" s="557">
        <v>3.02</v>
      </c>
      <c r="X16" s="557"/>
      <c r="Y16" s="557"/>
      <c r="Z16" s="557"/>
      <c r="AA16" s="557"/>
      <c r="AB16" s="91">
        <v>0</v>
      </c>
      <c r="AC16" s="91">
        <v>0</v>
      </c>
      <c r="AD16" s="91">
        <v>50</v>
      </c>
      <c r="AE16" s="129">
        <v>1.73</v>
      </c>
      <c r="AF16" s="145" t="s">
        <v>73</v>
      </c>
      <c r="AG16" s="67">
        <v>10</v>
      </c>
      <c r="AH16" s="42" t="s">
        <v>77</v>
      </c>
      <c r="AI16" s="150" t="s">
        <v>306</v>
      </c>
      <c r="AJ16" s="145" t="s">
        <v>103</v>
      </c>
      <c r="AK16" s="116"/>
    </row>
    <row r="17" spans="1:37" s="8" customFormat="1" ht="15.75" hidden="1">
      <c r="A17" s="770" t="s">
        <v>706</v>
      </c>
      <c r="B17" s="151" t="s">
        <v>79</v>
      </c>
      <c r="C17" s="152" t="s">
        <v>675</v>
      </c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621" t="s">
        <v>333</v>
      </c>
      <c r="AG17" s="67">
        <v>10</v>
      </c>
      <c r="AH17" s="145" t="s">
        <v>276</v>
      </c>
      <c r="AI17" s="150" t="s">
        <v>306</v>
      </c>
      <c r="AJ17" s="145" t="s">
        <v>306</v>
      </c>
      <c r="AK17" s="116"/>
    </row>
    <row r="18" spans="1:37" s="8" customFormat="1" ht="15.75">
      <c r="A18" s="770" t="s">
        <v>201</v>
      </c>
      <c r="B18" s="151" t="s">
        <v>79</v>
      </c>
      <c r="C18" s="152" t="s">
        <v>50</v>
      </c>
      <c r="D18" s="131"/>
      <c r="E18" s="131"/>
      <c r="F18" s="131">
        <v>20</v>
      </c>
      <c r="G18" s="9">
        <v>1</v>
      </c>
      <c r="H18" s="131"/>
      <c r="I18" s="131"/>
      <c r="J18" s="131"/>
      <c r="K18" s="131"/>
      <c r="L18" s="726">
        <v>4</v>
      </c>
      <c r="M18" s="726">
        <v>0</v>
      </c>
      <c r="N18" s="726">
        <v>4</v>
      </c>
      <c r="O18" s="726">
        <v>0.75</v>
      </c>
      <c r="P18" s="726"/>
      <c r="Q18" s="726"/>
      <c r="R18" s="726"/>
      <c r="S18" s="726"/>
      <c r="T18" s="635">
        <v>30</v>
      </c>
      <c r="U18" s="635">
        <v>20</v>
      </c>
      <c r="V18" s="593">
        <v>20</v>
      </c>
      <c r="W18" s="635">
        <v>0.95</v>
      </c>
      <c r="X18" s="635"/>
      <c r="Y18" s="635"/>
      <c r="Z18" s="635"/>
      <c r="AA18" s="635"/>
      <c r="AB18" s="783">
        <v>0</v>
      </c>
      <c r="AC18" s="783">
        <v>0</v>
      </c>
      <c r="AD18" s="784">
        <v>20</v>
      </c>
      <c r="AE18" s="67">
        <v>0.53</v>
      </c>
      <c r="AF18" s="145" t="s">
        <v>12</v>
      </c>
      <c r="AG18" s="67">
        <v>10</v>
      </c>
      <c r="AH18" s="42" t="s">
        <v>202</v>
      </c>
      <c r="AI18" s="150" t="s">
        <v>306</v>
      </c>
      <c r="AJ18" s="152" t="s">
        <v>327</v>
      </c>
      <c r="AK18" s="116"/>
    </row>
    <row r="19" spans="1:37" s="8" customFormat="1" ht="15.75">
      <c r="A19" s="770" t="s">
        <v>707</v>
      </c>
      <c r="B19" s="151" t="s">
        <v>79</v>
      </c>
      <c r="C19" s="152" t="s">
        <v>708</v>
      </c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557">
        <v>10</v>
      </c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563" t="s">
        <v>333</v>
      </c>
      <c r="AG19" s="67">
        <v>10</v>
      </c>
      <c r="AH19" s="790" t="s">
        <v>1223</v>
      </c>
      <c r="AI19" s="150" t="s">
        <v>306</v>
      </c>
      <c r="AJ19" s="152" t="s">
        <v>306</v>
      </c>
      <c r="AK19" s="116"/>
    </row>
    <row r="20" spans="1:37" s="3" customFormat="1" ht="15.75">
      <c r="A20" s="87" t="s">
        <v>576</v>
      </c>
      <c r="B20" s="151" t="s">
        <v>79</v>
      </c>
      <c r="C20" s="152" t="s">
        <v>577</v>
      </c>
      <c r="D20" s="598"/>
      <c r="E20" s="598"/>
      <c r="F20" s="758">
        <v>30</v>
      </c>
      <c r="G20" s="785">
        <v>1.5</v>
      </c>
      <c r="H20" s="623">
        <v>25</v>
      </c>
      <c r="I20" s="623">
        <v>10</v>
      </c>
      <c r="J20" s="623">
        <v>0</v>
      </c>
      <c r="K20" s="623">
        <v>0</v>
      </c>
      <c r="L20" s="33"/>
      <c r="M20" s="33"/>
      <c r="N20" s="33"/>
      <c r="O20" s="33"/>
      <c r="P20" s="67">
        <v>200</v>
      </c>
      <c r="Q20" s="67"/>
      <c r="R20" s="67">
        <v>20</v>
      </c>
      <c r="S20" s="783">
        <v>1.8</v>
      </c>
      <c r="T20" s="557"/>
      <c r="U20" s="557"/>
      <c r="V20" s="593">
        <v>20</v>
      </c>
      <c r="W20" s="557">
        <v>0.95</v>
      </c>
      <c r="X20" s="557"/>
      <c r="Y20" s="557"/>
      <c r="Z20" s="557"/>
      <c r="AA20" s="557"/>
      <c r="AB20" s="67">
        <v>50</v>
      </c>
      <c r="AC20" s="67">
        <v>50</v>
      </c>
      <c r="AD20" s="68">
        <v>50</v>
      </c>
      <c r="AE20" s="68">
        <v>1.04</v>
      </c>
      <c r="AF20" s="145" t="s">
        <v>71</v>
      </c>
      <c r="AG20" s="67" t="s">
        <v>986</v>
      </c>
      <c r="AH20" s="42" t="s">
        <v>202</v>
      </c>
      <c r="AI20" s="150" t="s">
        <v>306</v>
      </c>
      <c r="AJ20" s="145" t="s">
        <v>104</v>
      </c>
      <c r="AK20" s="720"/>
    </row>
    <row r="21" spans="1:37" s="3" customFormat="1" ht="31.5">
      <c r="A21" s="87" t="s">
        <v>709</v>
      </c>
      <c r="B21" s="152" t="s">
        <v>710</v>
      </c>
      <c r="C21" s="152" t="s">
        <v>711</v>
      </c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557"/>
      <c r="U21" s="557"/>
      <c r="V21" s="593">
        <v>60</v>
      </c>
      <c r="W21" s="557">
        <v>1</v>
      </c>
      <c r="X21" s="557"/>
      <c r="Y21" s="557"/>
      <c r="Z21" s="557"/>
      <c r="AA21" s="557"/>
      <c r="AB21" s="557"/>
      <c r="AC21" s="557"/>
      <c r="AD21" s="557"/>
      <c r="AE21" s="557"/>
      <c r="AF21" s="145" t="s">
        <v>15</v>
      </c>
      <c r="AG21" s="110"/>
      <c r="AH21" s="790" t="s">
        <v>1223</v>
      </c>
      <c r="AI21" s="150" t="s">
        <v>306</v>
      </c>
      <c r="AJ21" s="152" t="s">
        <v>306</v>
      </c>
      <c r="AK21" s="720"/>
    </row>
    <row r="22" spans="1:37" ht="50.25" customHeight="1">
      <c r="A22" s="87" t="s">
        <v>1205</v>
      </c>
      <c r="B22" s="152" t="s">
        <v>1206</v>
      </c>
      <c r="C22" s="152" t="s">
        <v>1207</v>
      </c>
      <c r="D22" s="152"/>
      <c r="E22" s="152"/>
      <c r="F22" s="152"/>
      <c r="G22" s="152"/>
      <c r="H22" s="779">
        <v>410</v>
      </c>
      <c r="I22" s="779">
        <v>410</v>
      </c>
      <c r="J22" s="152"/>
      <c r="K22" s="152"/>
      <c r="L22" s="152"/>
      <c r="M22" s="152"/>
      <c r="N22" s="152"/>
      <c r="O22" s="152"/>
      <c r="P22" s="152">
        <v>60</v>
      </c>
      <c r="Q22" s="152"/>
      <c r="R22" s="152">
        <v>60</v>
      </c>
      <c r="S22" s="152">
        <v>0.2</v>
      </c>
      <c r="T22" s="557"/>
      <c r="U22" s="557"/>
      <c r="V22" s="593">
        <v>30</v>
      </c>
      <c r="W22" s="557">
        <v>1.46</v>
      </c>
      <c r="X22" s="557"/>
      <c r="Y22" s="557"/>
      <c r="Z22" s="557"/>
      <c r="AA22" s="557"/>
      <c r="AB22" s="557"/>
      <c r="AC22" s="557"/>
      <c r="AD22" s="557"/>
      <c r="AE22" s="557"/>
      <c r="AF22" s="33" t="s">
        <v>1208</v>
      </c>
      <c r="AG22" s="33">
        <v>20</v>
      </c>
      <c r="AH22" s="33" t="s">
        <v>86</v>
      </c>
      <c r="AI22" s="145" t="s">
        <v>918</v>
      </c>
      <c r="AJ22" s="145" t="s">
        <v>918</v>
      </c>
      <c r="AK22" s="116"/>
    </row>
    <row r="23" spans="1:37" s="8" customFormat="1" ht="31.5" hidden="1">
      <c r="A23" s="772"/>
      <c r="B23" s="152" t="s">
        <v>194</v>
      </c>
      <c r="C23" s="152" t="s">
        <v>153</v>
      </c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45" t="s">
        <v>15</v>
      </c>
      <c r="AG23" s="145">
        <v>32</v>
      </c>
      <c r="AH23" s="145" t="s">
        <v>13</v>
      </c>
      <c r="AI23" s="150"/>
      <c r="AJ23" s="145" t="s">
        <v>110</v>
      </c>
      <c r="AK23" s="718"/>
    </row>
    <row r="24" spans="1:37" s="8" customFormat="1" ht="31.5">
      <c r="A24" s="689" t="s">
        <v>899</v>
      </c>
      <c r="B24" s="726" t="s">
        <v>1209</v>
      </c>
      <c r="C24" s="560" t="s">
        <v>1210</v>
      </c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560"/>
      <c r="R24" s="560"/>
      <c r="S24" s="560"/>
      <c r="T24" s="562">
        <v>14</v>
      </c>
      <c r="U24" s="562">
        <v>0</v>
      </c>
      <c r="V24" s="562">
        <v>550</v>
      </c>
      <c r="W24" s="562">
        <v>5.5</v>
      </c>
      <c r="X24" s="562"/>
      <c r="Y24" s="562"/>
      <c r="Z24" s="562"/>
      <c r="AA24" s="562"/>
      <c r="AB24" s="562"/>
      <c r="AC24" s="562"/>
      <c r="AD24" s="562"/>
      <c r="AE24" s="562"/>
      <c r="AF24" s="145" t="s">
        <v>15</v>
      </c>
      <c r="AG24" s="145">
        <v>20</v>
      </c>
      <c r="AH24" s="560" t="s">
        <v>297</v>
      </c>
      <c r="AI24" s="560" t="s">
        <v>306</v>
      </c>
      <c r="AJ24" s="560" t="s">
        <v>306</v>
      </c>
      <c r="AK24" s="718"/>
    </row>
    <row r="25" spans="1:37" s="8" customFormat="1" ht="31.5" hidden="1">
      <c r="A25" s="770" t="s">
        <v>203</v>
      </c>
      <c r="B25" s="152" t="s">
        <v>208</v>
      </c>
      <c r="C25" s="152" t="s">
        <v>75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45" t="s">
        <v>87</v>
      </c>
      <c r="AG25" s="41" t="s">
        <v>1224</v>
      </c>
      <c r="AH25" s="145" t="s">
        <v>13</v>
      </c>
      <c r="AI25" s="150" t="s">
        <v>306</v>
      </c>
      <c r="AJ25" s="145" t="s">
        <v>328</v>
      </c>
      <c r="AK25" s="116"/>
    </row>
    <row r="26" spans="1:37" s="8" customFormat="1" ht="63">
      <c r="A26" s="87" t="s">
        <v>793</v>
      </c>
      <c r="B26" s="152" t="s">
        <v>794</v>
      </c>
      <c r="C26" s="87" t="s">
        <v>795</v>
      </c>
      <c r="D26" s="131"/>
      <c r="E26" s="131"/>
      <c r="F26" s="131">
        <v>20</v>
      </c>
      <c r="G26" s="9">
        <v>0.18</v>
      </c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562"/>
      <c r="U26" s="562"/>
      <c r="V26" s="562">
        <v>150</v>
      </c>
      <c r="W26" s="562">
        <v>1.5</v>
      </c>
      <c r="X26" s="674"/>
      <c r="Y26" s="674"/>
      <c r="Z26" s="674"/>
      <c r="AA26" s="674"/>
      <c r="AB26" s="674"/>
      <c r="AC26" s="674"/>
      <c r="AD26" s="674"/>
      <c r="AE26" s="674"/>
      <c r="AF26" s="148"/>
      <c r="AG26" s="786"/>
      <c r="AH26" s="145" t="s">
        <v>1183</v>
      </c>
      <c r="AI26" s="145" t="s">
        <v>610</v>
      </c>
      <c r="AJ26" s="145" t="s">
        <v>610</v>
      </c>
      <c r="AK26" s="159"/>
    </row>
    <row r="27" spans="1:37" ht="16.5" thickBot="1">
      <c r="A27" s="781"/>
      <c r="B27" s="1255" t="s">
        <v>14</v>
      </c>
      <c r="C27" s="1255"/>
      <c r="D27" s="767">
        <f aca="true" t="shared" si="1" ref="D27:AE27">SUM(D13:D26)</f>
        <v>0</v>
      </c>
      <c r="E27" s="767">
        <f t="shared" si="1"/>
        <v>0</v>
      </c>
      <c r="F27" s="767">
        <f t="shared" si="1"/>
        <v>166</v>
      </c>
      <c r="G27" s="767">
        <f t="shared" si="1"/>
        <v>10.03</v>
      </c>
      <c r="H27" s="767">
        <f t="shared" si="1"/>
        <v>560</v>
      </c>
      <c r="I27" s="767">
        <f t="shared" si="1"/>
        <v>445</v>
      </c>
      <c r="J27" s="767">
        <f t="shared" si="1"/>
        <v>0</v>
      </c>
      <c r="K27" s="767">
        <f t="shared" si="1"/>
        <v>0</v>
      </c>
      <c r="L27" s="767">
        <f t="shared" si="1"/>
        <v>4</v>
      </c>
      <c r="M27" s="767">
        <f t="shared" si="1"/>
        <v>0</v>
      </c>
      <c r="N27" s="767">
        <f t="shared" si="1"/>
        <v>4</v>
      </c>
      <c r="O27" s="767">
        <f t="shared" si="1"/>
        <v>0.75</v>
      </c>
      <c r="P27" s="767">
        <f t="shared" si="1"/>
        <v>460</v>
      </c>
      <c r="Q27" s="767">
        <f t="shared" si="1"/>
        <v>0</v>
      </c>
      <c r="R27" s="767">
        <f t="shared" si="1"/>
        <v>90</v>
      </c>
      <c r="S27" s="767">
        <f t="shared" si="1"/>
        <v>3</v>
      </c>
      <c r="T27" s="767">
        <f t="shared" si="1"/>
        <v>124</v>
      </c>
      <c r="U27" s="767">
        <f t="shared" si="1"/>
        <v>168</v>
      </c>
      <c r="V27" s="767">
        <f t="shared" si="1"/>
        <v>930</v>
      </c>
      <c r="W27" s="767">
        <f t="shared" si="1"/>
        <v>18.919999999999998</v>
      </c>
      <c r="X27" s="767">
        <f t="shared" si="1"/>
        <v>0</v>
      </c>
      <c r="Y27" s="767">
        <f t="shared" si="1"/>
        <v>0</v>
      </c>
      <c r="Z27" s="767">
        <f t="shared" si="1"/>
        <v>0</v>
      </c>
      <c r="AA27" s="767">
        <f t="shared" si="1"/>
        <v>0</v>
      </c>
      <c r="AB27" s="767">
        <f t="shared" si="1"/>
        <v>75</v>
      </c>
      <c r="AC27" s="767">
        <f t="shared" si="1"/>
        <v>75</v>
      </c>
      <c r="AD27" s="767">
        <f t="shared" si="1"/>
        <v>120</v>
      </c>
      <c r="AE27" s="767">
        <f t="shared" si="1"/>
        <v>3.3</v>
      </c>
      <c r="AF27" s="768"/>
      <c r="AG27" s="768"/>
      <c r="AH27" s="768"/>
      <c r="AI27" s="768"/>
      <c r="AJ27" s="768"/>
      <c r="AK27" s="769"/>
    </row>
    <row r="28" spans="1:37" ht="16.5" thickBot="1">
      <c r="A28" s="782"/>
      <c r="B28" s="1240" t="s">
        <v>17</v>
      </c>
      <c r="C28" s="1240"/>
      <c r="D28" s="162">
        <f aca="true" t="shared" si="2" ref="D28:AE28">SUM(D12,D27)</f>
        <v>0</v>
      </c>
      <c r="E28" s="162">
        <f t="shared" si="2"/>
        <v>0</v>
      </c>
      <c r="F28" s="162">
        <f t="shared" si="2"/>
        <v>166</v>
      </c>
      <c r="G28" s="162">
        <f t="shared" si="2"/>
        <v>10.03</v>
      </c>
      <c r="H28" s="162">
        <f t="shared" si="2"/>
        <v>598</v>
      </c>
      <c r="I28" s="162">
        <f t="shared" si="2"/>
        <v>478</v>
      </c>
      <c r="J28" s="162">
        <f t="shared" si="2"/>
        <v>0</v>
      </c>
      <c r="K28" s="162">
        <f t="shared" si="2"/>
        <v>0</v>
      </c>
      <c r="L28" s="162">
        <f t="shared" si="2"/>
        <v>9</v>
      </c>
      <c r="M28" s="162">
        <f t="shared" si="2"/>
        <v>0</v>
      </c>
      <c r="N28" s="162">
        <f t="shared" si="2"/>
        <v>11</v>
      </c>
      <c r="O28" s="162">
        <f t="shared" si="2"/>
        <v>2.25</v>
      </c>
      <c r="P28" s="162">
        <f t="shared" si="2"/>
        <v>474</v>
      </c>
      <c r="Q28" s="162">
        <f t="shared" si="2"/>
        <v>0</v>
      </c>
      <c r="R28" s="162">
        <f t="shared" si="2"/>
        <v>91</v>
      </c>
      <c r="S28" s="162">
        <f t="shared" si="2"/>
        <v>3.36</v>
      </c>
      <c r="T28" s="162">
        <f t="shared" si="2"/>
        <v>203</v>
      </c>
      <c r="U28" s="162">
        <f t="shared" si="2"/>
        <v>220</v>
      </c>
      <c r="V28" s="162">
        <f t="shared" si="2"/>
        <v>989</v>
      </c>
      <c r="W28" s="162">
        <f t="shared" si="2"/>
        <v>26.06</v>
      </c>
      <c r="X28" s="162">
        <f t="shared" si="2"/>
        <v>0</v>
      </c>
      <c r="Y28" s="162">
        <f t="shared" si="2"/>
        <v>0</v>
      </c>
      <c r="Z28" s="162">
        <f t="shared" si="2"/>
        <v>0</v>
      </c>
      <c r="AA28" s="162">
        <f t="shared" si="2"/>
        <v>0</v>
      </c>
      <c r="AB28" s="162">
        <f t="shared" si="2"/>
        <v>96</v>
      </c>
      <c r="AC28" s="162">
        <f t="shared" si="2"/>
        <v>94</v>
      </c>
      <c r="AD28" s="162">
        <f t="shared" si="2"/>
        <v>149</v>
      </c>
      <c r="AE28" s="162">
        <f t="shared" si="2"/>
        <v>5.6899999999999995</v>
      </c>
      <c r="AF28" s="38"/>
      <c r="AG28" s="38"/>
      <c r="AH28" s="38"/>
      <c r="AI28" s="37"/>
      <c r="AJ28" s="37"/>
      <c r="AK28" s="39"/>
    </row>
    <row r="29" ht="15.75">
      <c r="B29" s="19"/>
    </row>
  </sheetData>
  <sheetProtection/>
  <mergeCells count="36">
    <mergeCell ref="B12:C12"/>
    <mergeCell ref="B27:C27"/>
    <mergeCell ref="B28:C28"/>
    <mergeCell ref="AG4:AG5"/>
    <mergeCell ref="AH4:AH5"/>
    <mergeCell ref="AI4:AI5"/>
    <mergeCell ref="L4:M4"/>
    <mergeCell ref="N4:O4"/>
    <mergeCell ref="P4:Q4"/>
    <mergeCell ref="R4:S4"/>
    <mergeCell ref="AJ4:AJ5"/>
    <mergeCell ref="AK4:AK5"/>
    <mergeCell ref="C7:C11"/>
    <mergeCell ref="V4:W4"/>
    <mergeCell ref="X4:Y4"/>
    <mergeCell ref="Z4:AA4"/>
    <mergeCell ref="AB4:AC4"/>
    <mergeCell ref="AD4:AE4"/>
    <mergeCell ref="AF4:AF5"/>
    <mergeCell ref="J4:K4"/>
    <mergeCell ref="T4:U4"/>
    <mergeCell ref="A4:A5"/>
    <mergeCell ref="B4:B5"/>
    <mergeCell ref="C4:C5"/>
    <mergeCell ref="D4:E4"/>
    <mergeCell ref="F4:G4"/>
    <mergeCell ref="H4:I4"/>
    <mergeCell ref="A1:AK1"/>
    <mergeCell ref="A2:AK2"/>
    <mergeCell ref="D3:G3"/>
    <mergeCell ref="H3:K3"/>
    <mergeCell ref="L3:O3"/>
    <mergeCell ref="P3:S3"/>
    <mergeCell ref="T3:W3"/>
    <mergeCell ref="X3:AA3"/>
    <mergeCell ref="AB3:AE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Z24"/>
  <sheetViews>
    <sheetView zoomScale="70" zoomScaleNormal="70" zoomScalePageLayoutView="0" workbookViewId="0" topLeftCell="A1">
      <pane xSplit="3" ySplit="5" topLeftCell="AK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AZ1"/>
    </sheetView>
  </sheetViews>
  <sheetFormatPr defaultColWidth="9.140625" defaultRowHeight="15"/>
  <cols>
    <col min="1" max="1" width="13.00390625" style="319" customWidth="1"/>
    <col min="2" max="2" width="28.28125" style="319" customWidth="1"/>
    <col min="3" max="3" width="35.8515625" style="0" customWidth="1"/>
    <col min="4" max="11" width="7.140625" style="0" customWidth="1"/>
    <col min="12" max="12" width="9.140625" style="0" customWidth="1"/>
    <col min="13" max="15" width="7.140625" style="0" customWidth="1"/>
    <col min="16" max="16" width="8.28125" style="0" customWidth="1"/>
    <col min="17" max="17" width="7.00390625" style="0" customWidth="1"/>
    <col min="18" max="18" width="6.140625" style="0" customWidth="1"/>
    <col min="19" max="19" width="8.28125" style="0" customWidth="1"/>
    <col min="20" max="20" width="7.28125" style="0" customWidth="1"/>
    <col min="21" max="21" width="6.7109375" style="0" customWidth="1"/>
    <col min="22" max="22" width="6.00390625" style="0" customWidth="1"/>
    <col min="23" max="31" width="8.28125" style="0" customWidth="1"/>
    <col min="32" max="32" width="6.421875" style="0" customWidth="1"/>
    <col min="33" max="33" width="6.8515625" style="0" customWidth="1"/>
    <col min="34" max="34" width="7.57421875" style="0" customWidth="1"/>
    <col min="35" max="35" width="10.28125" style="0" customWidth="1"/>
    <col min="36" max="36" width="7.00390625" style="0" customWidth="1"/>
    <col min="37" max="37" width="7.8515625" style="0" customWidth="1"/>
    <col min="38" max="38" width="6.7109375" style="0" customWidth="1"/>
    <col min="39" max="47" width="8.00390625" style="0" customWidth="1"/>
    <col min="48" max="48" width="11.00390625" style="0" customWidth="1"/>
    <col min="49" max="49" width="21.421875" style="0" bestFit="1" customWidth="1"/>
    <col min="50" max="50" width="19.57421875" style="0" customWidth="1"/>
    <col min="51" max="51" width="22.7109375" style="20" customWidth="1"/>
    <col min="52" max="52" width="30.7109375" style="20" customWidth="1"/>
  </cols>
  <sheetData>
    <row r="1" spans="1:52" ht="27" customHeight="1" thickBot="1">
      <c r="A1" s="1162" t="s">
        <v>0</v>
      </c>
      <c r="B1" s="1266"/>
      <c r="C1" s="1266"/>
      <c r="D1" s="1266"/>
      <c r="E1" s="1266"/>
      <c r="F1" s="1266"/>
      <c r="G1" s="1266"/>
      <c r="H1" s="1266"/>
      <c r="I1" s="1266"/>
      <c r="J1" s="1266"/>
      <c r="K1" s="1266"/>
      <c r="L1" s="1266"/>
      <c r="M1" s="1266"/>
      <c r="N1" s="1266"/>
      <c r="O1" s="1266"/>
      <c r="P1" s="1266"/>
      <c r="Q1" s="1266"/>
      <c r="R1" s="1266"/>
      <c r="S1" s="1266"/>
      <c r="T1" s="1266"/>
      <c r="U1" s="1266"/>
      <c r="V1" s="1266"/>
      <c r="W1" s="1266"/>
      <c r="X1" s="1266"/>
      <c r="Y1" s="1266"/>
      <c r="Z1" s="1266"/>
      <c r="AA1" s="1266"/>
      <c r="AB1" s="1266"/>
      <c r="AC1" s="1266"/>
      <c r="AD1" s="1266"/>
      <c r="AE1" s="1266"/>
      <c r="AF1" s="1266"/>
      <c r="AG1" s="1266"/>
      <c r="AH1" s="1266"/>
      <c r="AI1" s="1266"/>
      <c r="AJ1" s="1266"/>
      <c r="AK1" s="1266"/>
      <c r="AL1" s="1266"/>
      <c r="AM1" s="1266"/>
      <c r="AN1" s="1266"/>
      <c r="AO1" s="1266"/>
      <c r="AP1" s="1266"/>
      <c r="AQ1" s="1266"/>
      <c r="AR1" s="1266"/>
      <c r="AS1" s="1266"/>
      <c r="AT1" s="1266"/>
      <c r="AU1" s="1266"/>
      <c r="AV1" s="1266"/>
      <c r="AW1" s="1266"/>
      <c r="AX1" s="1266"/>
      <c r="AY1" s="1266"/>
      <c r="AZ1" s="1267"/>
    </row>
    <row r="2" spans="1:52" s="31" customFormat="1" ht="30" customHeight="1" thickBot="1">
      <c r="A2" s="1268" t="s">
        <v>580</v>
      </c>
      <c r="B2" s="1269"/>
      <c r="C2" s="1269"/>
      <c r="D2" s="1269"/>
      <c r="E2" s="1269"/>
      <c r="F2" s="1269"/>
      <c r="G2" s="1269"/>
      <c r="H2" s="1269"/>
      <c r="I2" s="1269"/>
      <c r="J2" s="1269"/>
      <c r="K2" s="1269"/>
      <c r="L2" s="1269"/>
      <c r="M2" s="1269"/>
      <c r="N2" s="1269"/>
      <c r="O2" s="1269"/>
      <c r="P2" s="1269"/>
      <c r="Q2" s="1269"/>
      <c r="R2" s="1269"/>
      <c r="S2" s="1269"/>
      <c r="T2" s="1269"/>
      <c r="U2" s="1269"/>
      <c r="V2" s="1269"/>
      <c r="W2" s="1269"/>
      <c r="X2" s="1269"/>
      <c r="Y2" s="1269"/>
      <c r="Z2" s="1269"/>
      <c r="AA2" s="1269"/>
      <c r="AB2" s="1269"/>
      <c r="AC2" s="1269"/>
      <c r="AD2" s="1269"/>
      <c r="AE2" s="1269"/>
      <c r="AF2" s="1269"/>
      <c r="AG2" s="1269"/>
      <c r="AH2" s="1269"/>
      <c r="AI2" s="1269"/>
      <c r="AJ2" s="1269"/>
      <c r="AK2" s="1269"/>
      <c r="AL2" s="1269"/>
      <c r="AM2" s="1269"/>
      <c r="AN2" s="1269"/>
      <c r="AO2" s="1269"/>
      <c r="AP2" s="1269"/>
      <c r="AQ2" s="1269"/>
      <c r="AR2" s="1269"/>
      <c r="AS2" s="1269"/>
      <c r="AT2" s="1269"/>
      <c r="AU2" s="1269"/>
      <c r="AV2" s="1269"/>
      <c r="AW2" s="1269"/>
      <c r="AX2" s="1269"/>
      <c r="AY2" s="1269"/>
      <c r="AZ2" s="1270"/>
    </row>
    <row r="3" spans="1:52" s="31" customFormat="1" ht="27" customHeight="1" thickBot="1">
      <c r="A3" s="1264"/>
      <c r="B3" s="1262"/>
      <c r="C3" s="1265"/>
      <c r="D3" s="1261" t="s">
        <v>884</v>
      </c>
      <c r="E3" s="1262"/>
      <c r="F3" s="1262"/>
      <c r="G3" s="1262"/>
      <c r="H3" s="1261" t="s">
        <v>907</v>
      </c>
      <c r="I3" s="1262"/>
      <c r="J3" s="1262"/>
      <c r="K3" s="1262"/>
      <c r="L3" s="1261" t="s">
        <v>908</v>
      </c>
      <c r="M3" s="1262"/>
      <c r="N3" s="1262"/>
      <c r="O3" s="1262"/>
      <c r="P3" s="1261" t="s">
        <v>552</v>
      </c>
      <c r="Q3" s="1262"/>
      <c r="R3" s="1262"/>
      <c r="S3" s="1262"/>
      <c r="T3" s="1261" t="s">
        <v>633</v>
      </c>
      <c r="U3" s="1262"/>
      <c r="V3" s="1262"/>
      <c r="W3" s="1262"/>
      <c r="X3" s="1261" t="s">
        <v>916</v>
      </c>
      <c r="Y3" s="1262"/>
      <c r="Z3" s="1262"/>
      <c r="AA3" s="1262"/>
      <c r="AB3" s="1261" t="s">
        <v>676</v>
      </c>
      <c r="AC3" s="1262"/>
      <c r="AD3" s="1262"/>
      <c r="AE3" s="1262"/>
      <c r="AF3" s="1261" t="s">
        <v>1</v>
      </c>
      <c r="AG3" s="1262"/>
      <c r="AH3" s="1262"/>
      <c r="AI3" s="1262"/>
      <c r="AJ3" s="1261" t="s">
        <v>551</v>
      </c>
      <c r="AK3" s="1262"/>
      <c r="AL3" s="1262"/>
      <c r="AM3" s="1262"/>
      <c r="AN3" s="1261" t="s">
        <v>854</v>
      </c>
      <c r="AO3" s="1262"/>
      <c r="AP3" s="1262"/>
      <c r="AQ3" s="1262"/>
      <c r="AR3" s="1261" t="s">
        <v>947</v>
      </c>
      <c r="AS3" s="1262"/>
      <c r="AT3" s="1262"/>
      <c r="AU3" s="1262"/>
      <c r="AV3" s="1261"/>
      <c r="AW3" s="1262"/>
      <c r="AX3" s="1262"/>
      <c r="AY3" s="1262"/>
      <c r="AZ3" s="1263"/>
    </row>
    <row r="4" spans="1:52" ht="22.5" customHeight="1">
      <c r="A4" s="1271" t="s">
        <v>116</v>
      </c>
      <c r="B4" s="1278" t="s">
        <v>2</v>
      </c>
      <c r="C4" s="1278" t="s">
        <v>3</v>
      </c>
      <c r="D4" s="1117" t="s">
        <v>112</v>
      </c>
      <c r="E4" s="1117"/>
      <c r="F4" s="1117" t="s">
        <v>113</v>
      </c>
      <c r="G4" s="1117"/>
      <c r="H4" s="1117" t="s">
        <v>112</v>
      </c>
      <c r="I4" s="1117"/>
      <c r="J4" s="1117" t="s">
        <v>113</v>
      </c>
      <c r="K4" s="1117"/>
      <c r="L4" s="1117" t="s">
        <v>112</v>
      </c>
      <c r="M4" s="1117"/>
      <c r="N4" s="1117" t="s">
        <v>113</v>
      </c>
      <c r="O4" s="1117"/>
      <c r="P4" s="1117" t="s">
        <v>112</v>
      </c>
      <c r="Q4" s="1117"/>
      <c r="R4" s="1117" t="s">
        <v>113</v>
      </c>
      <c r="S4" s="1117"/>
      <c r="T4" s="1117" t="s">
        <v>112</v>
      </c>
      <c r="U4" s="1117"/>
      <c r="V4" s="1117" t="s">
        <v>113</v>
      </c>
      <c r="W4" s="1117"/>
      <c r="X4" s="1117" t="s">
        <v>112</v>
      </c>
      <c r="Y4" s="1117"/>
      <c r="Z4" s="1117" t="s">
        <v>113</v>
      </c>
      <c r="AA4" s="1117"/>
      <c r="AB4" s="1117" t="s">
        <v>112</v>
      </c>
      <c r="AC4" s="1117"/>
      <c r="AD4" s="1117" t="s">
        <v>113</v>
      </c>
      <c r="AE4" s="1117"/>
      <c r="AF4" s="1117" t="s">
        <v>112</v>
      </c>
      <c r="AG4" s="1117"/>
      <c r="AH4" s="1117" t="s">
        <v>113</v>
      </c>
      <c r="AI4" s="1117"/>
      <c r="AJ4" s="1117" t="s">
        <v>112</v>
      </c>
      <c r="AK4" s="1117"/>
      <c r="AL4" s="1117" t="s">
        <v>113</v>
      </c>
      <c r="AM4" s="1117"/>
      <c r="AN4" s="1117" t="s">
        <v>112</v>
      </c>
      <c r="AO4" s="1117"/>
      <c r="AP4" s="1117" t="s">
        <v>113</v>
      </c>
      <c r="AQ4" s="1117"/>
      <c r="AR4" s="1117" t="s">
        <v>112</v>
      </c>
      <c r="AS4" s="1117"/>
      <c r="AT4" s="1117" t="s">
        <v>113</v>
      </c>
      <c r="AU4" s="1117"/>
      <c r="AV4" s="1117" t="s">
        <v>4</v>
      </c>
      <c r="AW4" s="1117" t="s">
        <v>122</v>
      </c>
      <c r="AX4" s="1034" t="s">
        <v>5</v>
      </c>
      <c r="AY4" s="1053" t="s">
        <v>83</v>
      </c>
      <c r="AZ4" s="1055" t="s">
        <v>84</v>
      </c>
    </row>
    <row r="5" spans="1:52" ht="90.75" customHeight="1" thickBot="1">
      <c r="A5" s="1272"/>
      <c r="B5" s="1279"/>
      <c r="C5" s="1279"/>
      <c r="D5" s="25" t="s">
        <v>6</v>
      </c>
      <c r="E5" s="25" t="s">
        <v>7</v>
      </c>
      <c r="F5" s="25" t="s">
        <v>6</v>
      </c>
      <c r="G5" s="25" t="s">
        <v>96</v>
      </c>
      <c r="H5" s="25" t="s">
        <v>6</v>
      </c>
      <c r="I5" s="25" t="s">
        <v>7</v>
      </c>
      <c r="J5" s="25" t="s">
        <v>6</v>
      </c>
      <c r="K5" s="25" t="s">
        <v>96</v>
      </c>
      <c r="L5" s="25" t="s">
        <v>6</v>
      </c>
      <c r="M5" s="25" t="s">
        <v>7</v>
      </c>
      <c r="N5" s="25" t="s">
        <v>6</v>
      </c>
      <c r="O5" s="25" t="s">
        <v>96</v>
      </c>
      <c r="P5" s="25" t="s">
        <v>6</v>
      </c>
      <c r="Q5" s="25" t="s">
        <v>7</v>
      </c>
      <c r="R5" s="25" t="s">
        <v>6</v>
      </c>
      <c r="S5" s="25" t="s">
        <v>96</v>
      </c>
      <c r="T5" s="25" t="s">
        <v>6</v>
      </c>
      <c r="U5" s="25" t="s">
        <v>7</v>
      </c>
      <c r="V5" s="25" t="s">
        <v>6</v>
      </c>
      <c r="W5" s="25" t="s">
        <v>96</v>
      </c>
      <c r="X5" s="25" t="s">
        <v>6</v>
      </c>
      <c r="Y5" s="25" t="s">
        <v>7</v>
      </c>
      <c r="Z5" s="25" t="s">
        <v>6</v>
      </c>
      <c r="AA5" s="25" t="s">
        <v>96</v>
      </c>
      <c r="AB5" s="25" t="s">
        <v>6</v>
      </c>
      <c r="AC5" s="25" t="s">
        <v>7</v>
      </c>
      <c r="AD5" s="25" t="s">
        <v>6</v>
      </c>
      <c r="AE5" s="25" t="s">
        <v>96</v>
      </c>
      <c r="AF5" s="25" t="s">
        <v>6</v>
      </c>
      <c r="AG5" s="25" t="s">
        <v>7</v>
      </c>
      <c r="AH5" s="25" t="s">
        <v>6</v>
      </c>
      <c r="AI5" s="25" t="s">
        <v>96</v>
      </c>
      <c r="AJ5" s="25" t="s">
        <v>6</v>
      </c>
      <c r="AK5" s="25" t="s">
        <v>7</v>
      </c>
      <c r="AL5" s="25" t="s">
        <v>6</v>
      </c>
      <c r="AM5" s="25" t="s">
        <v>96</v>
      </c>
      <c r="AN5" s="25" t="s">
        <v>6</v>
      </c>
      <c r="AO5" s="25" t="s">
        <v>7</v>
      </c>
      <c r="AP5" s="25" t="s">
        <v>6</v>
      </c>
      <c r="AQ5" s="25" t="s">
        <v>96</v>
      </c>
      <c r="AR5" s="25" t="s">
        <v>6</v>
      </c>
      <c r="AS5" s="25" t="s">
        <v>7</v>
      </c>
      <c r="AT5" s="25" t="s">
        <v>6</v>
      </c>
      <c r="AU5" s="25" t="s">
        <v>96</v>
      </c>
      <c r="AV5" s="1118"/>
      <c r="AW5" s="1118"/>
      <c r="AX5" s="1068"/>
      <c r="AY5" s="1054"/>
      <c r="AZ5" s="1056"/>
    </row>
    <row r="6" spans="1:52" s="301" customFormat="1" ht="45">
      <c r="A6" s="1274" t="s">
        <v>211</v>
      </c>
      <c r="B6" s="1276" t="s">
        <v>11</v>
      </c>
      <c r="C6" s="150" t="s">
        <v>93</v>
      </c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2">
        <v>30</v>
      </c>
      <c r="O6" s="9">
        <v>1</v>
      </c>
      <c r="P6" s="150"/>
      <c r="Q6" s="150"/>
      <c r="R6" s="150"/>
      <c r="S6" s="150"/>
      <c r="T6" s="150"/>
      <c r="U6" s="150"/>
      <c r="V6" s="150"/>
      <c r="W6" s="150"/>
      <c r="X6" s="195">
        <v>30</v>
      </c>
      <c r="Y6" s="195">
        <v>26</v>
      </c>
      <c r="Z6" s="195">
        <v>30</v>
      </c>
      <c r="AA6" s="195">
        <v>15.6</v>
      </c>
      <c r="AB6" s="203"/>
      <c r="AC6" s="203"/>
      <c r="AD6" s="203"/>
      <c r="AE6" s="227"/>
      <c r="AF6" s="150">
        <v>30</v>
      </c>
      <c r="AG6" s="150">
        <v>30</v>
      </c>
      <c r="AH6" s="150">
        <v>90</v>
      </c>
      <c r="AI6" s="150">
        <v>5.51</v>
      </c>
      <c r="AJ6" s="2">
        <v>60</v>
      </c>
      <c r="AK6" s="2">
        <v>30</v>
      </c>
      <c r="AL6" s="2">
        <v>150</v>
      </c>
      <c r="AM6" s="2">
        <v>11.55</v>
      </c>
      <c r="AN6" s="145">
        <v>150</v>
      </c>
      <c r="AO6" s="150" t="s">
        <v>610</v>
      </c>
      <c r="AP6" s="145">
        <v>180</v>
      </c>
      <c r="AQ6" s="150">
        <v>5.23</v>
      </c>
      <c r="AR6" s="150"/>
      <c r="AS6" s="150"/>
      <c r="AT6" s="150"/>
      <c r="AU6" s="150"/>
      <c r="AV6" s="150" t="s">
        <v>87</v>
      </c>
      <c r="AW6" s="150">
        <v>30</v>
      </c>
      <c r="AX6" s="150" t="s">
        <v>298</v>
      </c>
      <c r="AY6" s="150" t="s">
        <v>306</v>
      </c>
      <c r="AZ6" s="161" t="s">
        <v>299</v>
      </c>
    </row>
    <row r="7" spans="1:52" s="301" customFormat="1" ht="15">
      <c r="A7" s="1275"/>
      <c r="B7" s="1277"/>
      <c r="C7" s="150" t="s">
        <v>39</v>
      </c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2"/>
      <c r="O7" s="9"/>
      <c r="P7" s="150"/>
      <c r="Q7" s="150"/>
      <c r="R7" s="150"/>
      <c r="S7" s="150"/>
      <c r="T7" s="150"/>
      <c r="U7" s="150"/>
      <c r="V7" s="150"/>
      <c r="W7" s="150"/>
      <c r="X7" s="195">
        <v>30</v>
      </c>
      <c r="Y7" s="195">
        <v>27</v>
      </c>
      <c r="Z7" s="195">
        <v>30</v>
      </c>
      <c r="AA7" s="195">
        <v>1.32</v>
      </c>
      <c r="AB7" s="203"/>
      <c r="AC7" s="203"/>
      <c r="AD7" s="203"/>
      <c r="AE7" s="227"/>
      <c r="AF7" s="150"/>
      <c r="AG7" s="150"/>
      <c r="AH7" s="150"/>
      <c r="AI7" s="150"/>
      <c r="AJ7" s="2"/>
      <c r="AK7" s="2"/>
      <c r="AL7" s="2"/>
      <c r="AM7" s="2"/>
      <c r="AN7" s="150"/>
      <c r="AO7" s="150"/>
      <c r="AP7" s="150"/>
      <c r="AQ7" s="150"/>
      <c r="AR7" s="150"/>
      <c r="AS7" s="150"/>
      <c r="AT7" s="150"/>
      <c r="AU7" s="150"/>
      <c r="AV7" s="195" t="s">
        <v>71</v>
      </c>
      <c r="AW7" s="195">
        <v>30</v>
      </c>
      <c r="AX7" s="195" t="s">
        <v>985</v>
      </c>
      <c r="AY7" s="195" t="s">
        <v>306</v>
      </c>
      <c r="AZ7" s="265" t="s">
        <v>306</v>
      </c>
    </row>
    <row r="8" spans="1:52" s="301" customFormat="1" ht="30">
      <c r="A8" s="202" t="s">
        <v>210</v>
      </c>
      <c r="B8" s="151" t="s">
        <v>8</v>
      </c>
      <c r="C8" s="145" t="s">
        <v>97</v>
      </c>
      <c r="D8" s="91">
        <v>120</v>
      </c>
      <c r="E8" s="91">
        <v>25</v>
      </c>
      <c r="F8" s="91">
        <v>120</v>
      </c>
      <c r="G8" s="129">
        <v>6.84</v>
      </c>
      <c r="H8" s="91">
        <v>440</v>
      </c>
      <c r="I8" s="2" t="s">
        <v>610</v>
      </c>
      <c r="J8" s="91">
        <v>270</v>
      </c>
      <c r="K8" s="91">
        <v>13.94</v>
      </c>
      <c r="L8" s="224">
        <v>90</v>
      </c>
      <c r="M8" s="145">
        <v>8</v>
      </c>
      <c r="N8" s="224">
        <v>150</v>
      </c>
      <c r="O8" s="145">
        <v>8.86</v>
      </c>
      <c r="P8" s="91">
        <v>30</v>
      </c>
      <c r="Q8" s="91">
        <v>35</v>
      </c>
      <c r="R8" s="91">
        <v>75</v>
      </c>
      <c r="S8" s="91">
        <v>7.15</v>
      </c>
      <c r="T8" s="91">
        <v>786</v>
      </c>
      <c r="U8" s="91">
        <v>131</v>
      </c>
      <c r="V8" s="91"/>
      <c r="W8" s="91"/>
      <c r="X8" s="68">
        <v>125</v>
      </c>
      <c r="Y8" s="68">
        <v>45</v>
      </c>
      <c r="Z8" s="91"/>
      <c r="AA8" s="91"/>
      <c r="AB8" s="203">
        <f>5*30</f>
        <v>150</v>
      </c>
      <c r="AC8" s="203">
        <v>80</v>
      </c>
      <c r="AD8" s="203">
        <v>117</v>
      </c>
      <c r="AE8" s="227">
        <v>8.4</v>
      </c>
      <c r="AF8" s="145">
        <v>240</v>
      </c>
      <c r="AG8" s="145">
        <v>0</v>
      </c>
      <c r="AH8" s="145">
        <v>240</v>
      </c>
      <c r="AI8" s="145">
        <v>13.98</v>
      </c>
      <c r="AJ8" s="2">
        <v>510</v>
      </c>
      <c r="AK8" s="2">
        <v>0</v>
      </c>
      <c r="AL8" s="91">
        <v>450</v>
      </c>
      <c r="AM8" s="91">
        <v>28.88</v>
      </c>
      <c r="AN8" s="150">
        <v>600</v>
      </c>
      <c r="AO8" s="150" t="s">
        <v>610</v>
      </c>
      <c r="AP8" s="150">
        <v>600</v>
      </c>
      <c r="AQ8" s="150">
        <v>8</v>
      </c>
      <c r="AR8" s="150"/>
      <c r="AS8" s="150"/>
      <c r="AT8" s="150"/>
      <c r="AU8" s="150"/>
      <c r="AV8" s="145" t="s">
        <v>9</v>
      </c>
      <c r="AW8" s="145">
        <v>30</v>
      </c>
      <c r="AX8" s="145" t="s">
        <v>10</v>
      </c>
      <c r="AY8" s="150" t="s">
        <v>306</v>
      </c>
      <c r="AZ8" s="261" t="s">
        <v>300</v>
      </c>
    </row>
    <row r="9" spans="1:52" s="301" customFormat="1" ht="45">
      <c r="A9" s="202" t="s">
        <v>212</v>
      </c>
      <c r="B9" s="34" t="s">
        <v>8</v>
      </c>
      <c r="C9" s="145" t="s">
        <v>39</v>
      </c>
      <c r="D9" s="91" t="s">
        <v>575</v>
      </c>
      <c r="E9" s="91" t="s">
        <v>575</v>
      </c>
      <c r="F9" s="91">
        <v>330</v>
      </c>
      <c r="G9" s="91">
        <v>9.3</v>
      </c>
      <c r="H9" s="91">
        <v>1520</v>
      </c>
      <c r="I9" s="2" t="s">
        <v>610</v>
      </c>
      <c r="J9" s="91">
        <v>1440</v>
      </c>
      <c r="K9" s="91">
        <v>83.76</v>
      </c>
      <c r="L9" s="145">
        <v>90</v>
      </c>
      <c r="M9" s="145">
        <v>0</v>
      </c>
      <c r="N9" s="145">
        <v>150</v>
      </c>
      <c r="O9" s="145">
        <v>8.48</v>
      </c>
      <c r="P9" s="68">
        <v>99</v>
      </c>
      <c r="Q9" s="91">
        <v>0</v>
      </c>
      <c r="R9" s="68">
        <v>200</v>
      </c>
      <c r="S9" s="91">
        <v>7.68</v>
      </c>
      <c r="T9" s="91">
        <v>1015</v>
      </c>
      <c r="U9" s="91">
        <v>70</v>
      </c>
      <c r="V9" s="91"/>
      <c r="W9" s="91"/>
      <c r="X9" s="195">
        <v>125</v>
      </c>
      <c r="Y9" s="195">
        <v>30</v>
      </c>
      <c r="Z9" s="91"/>
      <c r="AA9" s="91"/>
      <c r="AB9" s="195">
        <f>4*30</f>
        <v>120</v>
      </c>
      <c r="AC9" s="195">
        <v>0</v>
      </c>
      <c r="AD9" s="195">
        <v>147</v>
      </c>
      <c r="AE9" s="291">
        <v>9</v>
      </c>
      <c r="AF9" s="145">
        <v>3270</v>
      </c>
      <c r="AG9" s="145">
        <v>210</v>
      </c>
      <c r="AH9" s="145">
        <f>109*30</f>
        <v>3270</v>
      </c>
      <c r="AI9" s="145">
        <v>124.51</v>
      </c>
      <c r="AJ9" s="145"/>
      <c r="AK9" s="145"/>
      <c r="AL9" s="145"/>
      <c r="AM9" s="145"/>
      <c r="AN9" s="145">
        <v>6720</v>
      </c>
      <c r="AO9" s="150" t="s">
        <v>610</v>
      </c>
      <c r="AP9" s="145">
        <v>224</v>
      </c>
      <c r="AQ9" s="145">
        <v>63.06</v>
      </c>
      <c r="AR9" s="302">
        <v>1150</v>
      </c>
      <c r="AS9" s="302">
        <v>0</v>
      </c>
      <c r="AT9" s="286">
        <v>1150</v>
      </c>
      <c r="AU9" s="287">
        <v>68.97</v>
      </c>
      <c r="AV9" s="145" t="s">
        <v>15</v>
      </c>
      <c r="AW9" s="145">
        <v>30</v>
      </c>
      <c r="AX9" s="145" t="s">
        <v>16</v>
      </c>
      <c r="AY9" s="150" t="s">
        <v>306</v>
      </c>
      <c r="AZ9" s="161" t="s">
        <v>299</v>
      </c>
    </row>
    <row r="10" spans="1:52" s="301" customFormat="1" ht="45">
      <c r="A10" s="202" t="s">
        <v>214</v>
      </c>
      <c r="B10" s="34" t="s">
        <v>939</v>
      </c>
      <c r="C10" s="145" t="s">
        <v>213</v>
      </c>
      <c r="D10" s="91">
        <v>0</v>
      </c>
      <c r="E10" s="91">
        <v>0</v>
      </c>
      <c r="F10" s="91">
        <v>2</v>
      </c>
      <c r="G10" s="91">
        <v>2.94</v>
      </c>
      <c r="H10" s="91">
        <v>120</v>
      </c>
      <c r="I10" s="2" t="s">
        <v>610</v>
      </c>
      <c r="J10" s="91">
        <v>120</v>
      </c>
      <c r="K10" s="91">
        <v>7.94</v>
      </c>
      <c r="L10" s="145">
        <v>60</v>
      </c>
      <c r="M10" s="224">
        <v>0</v>
      </c>
      <c r="N10" s="145">
        <v>30</v>
      </c>
      <c r="O10" s="145">
        <v>1.7</v>
      </c>
      <c r="P10" s="68"/>
      <c r="Q10" s="68"/>
      <c r="R10" s="68">
        <v>24</v>
      </c>
      <c r="S10" s="68">
        <v>1.92</v>
      </c>
      <c r="T10" s="91">
        <v>75</v>
      </c>
      <c r="U10" s="91">
        <v>0</v>
      </c>
      <c r="V10" s="68"/>
      <c r="W10" s="68"/>
      <c r="X10" s="195">
        <v>20</v>
      </c>
      <c r="Y10" s="195">
        <v>13</v>
      </c>
      <c r="Z10" s="195">
        <v>20</v>
      </c>
      <c r="AA10" s="195">
        <v>1.42</v>
      </c>
      <c r="AB10" s="195">
        <f>12*25</f>
        <v>300</v>
      </c>
      <c r="AC10" s="195">
        <v>96</v>
      </c>
      <c r="AD10" s="145">
        <v>216</v>
      </c>
      <c r="AE10" s="291">
        <v>18.9</v>
      </c>
      <c r="AF10" s="145"/>
      <c r="AG10" s="145"/>
      <c r="AH10" s="145">
        <v>26</v>
      </c>
      <c r="AI10" s="145">
        <v>1.94</v>
      </c>
      <c r="AJ10" s="91" t="s">
        <v>797</v>
      </c>
      <c r="AK10" s="2">
        <v>0</v>
      </c>
      <c r="AL10" s="91">
        <v>160</v>
      </c>
      <c r="AM10" s="91">
        <v>6</v>
      </c>
      <c r="AN10" s="145">
        <v>828</v>
      </c>
      <c r="AO10" s="150" t="s">
        <v>610</v>
      </c>
      <c r="AP10" s="145">
        <v>390</v>
      </c>
      <c r="AQ10" s="145">
        <v>12.58</v>
      </c>
      <c r="AR10" s="302">
        <v>0</v>
      </c>
      <c r="AS10" s="302">
        <v>0</v>
      </c>
      <c r="AT10" s="286">
        <v>78</v>
      </c>
      <c r="AU10" s="287">
        <v>5.45</v>
      </c>
      <c r="AV10" s="145" t="s">
        <v>81</v>
      </c>
      <c r="AW10" s="145">
        <v>30</v>
      </c>
      <c r="AX10" s="145" t="s">
        <v>94</v>
      </c>
      <c r="AY10" s="150" t="s">
        <v>306</v>
      </c>
      <c r="AZ10" s="303" t="s">
        <v>328</v>
      </c>
    </row>
    <row r="11" spans="1:52" s="197" customFormat="1" ht="15.75">
      <c r="A11" s="184"/>
      <c r="B11" s="151" t="s">
        <v>8</v>
      </c>
      <c r="C11" s="145" t="s">
        <v>209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>
        <v>270</v>
      </c>
      <c r="AG11" s="145">
        <v>105</v>
      </c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32"/>
      <c r="AZ11" s="258"/>
    </row>
    <row r="12" spans="1:52" s="301" customFormat="1" ht="15.75">
      <c r="A12" s="184"/>
      <c r="B12" s="151" t="s">
        <v>8</v>
      </c>
      <c r="C12" s="33" t="s">
        <v>218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145">
        <v>5794</v>
      </c>
      <c r="AG12" s="145">
        <v>0</v>
      </c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32"/>
      <c r="AZ12" s="258"/>
    </row>
    <row r="13" spans="1:52" s="311" customFormat="1" ht="15.75">
      <c r="A13" s="298"/>
      <c r="B13" s="1273" t="s">
        <v>14</v>
      </c>
      <c r="C13" s="1273"/>
      <c r="D13" s="163">
        <f>SUM(D6:D12)</f>
        <v>120</v>
      </c>
      <c r="E13" s="163">
        <f aca="true" t="shared" si="0" ref="E13:AU13">SUM(E6:E12)</f>
        <v>25</v>
      </c>
      <c r="F13" s="163">
        <f t="shared" si="0"/>
        <v>452</v>
      </c>
      <c r="G13" s="163">
        <f t="shared" si="0"/>
        <v>19.080000000000002</v>
      </c>
      <c r="H13" s="163">
        <f t="shared" si="0"/>
        <v>2080</v>
      </c>
      <c r="I13" s="163">
        <f t="shared" si="0"/>
        <v>0</v>
      </c>
      <c r="J13" s="163">
        <f t="shared" si="0"/>
        <v>1830</v>
      </c>
      <c r="K13" s="163">
        <f t="shared" si="0"/>
        <v>105.64</v>
      </c>
      <c r="L13" s="163">
        <f t="shared" si="0"/>
        <v>240</v>
      </c>
      <c r="M13" s="163">
        <f t="shared" si="0"/>
        <v>8</v>
      </c>
      <c r="N13" s="163">
        <f t="shared" si="0"/>
        <v>360</v>
      </c>
      <c r="O13" s="163">
        <f t="shared" si="0"/>
        <v>20.04</v>
      </c>
      <c r="P13" s="163">
        <f t="shared" si="0"/>
        <v>129</v>
      </c>
      <c r="Q13" s="163">
        <f t="shared" si="0"/>
        <v>35</v>
      </c>
      <c r="R13" s="163">
        <f t="shared" si="0"/>
        <v>299</v>
      </c>
      <c r="S13" s="163">
        <f t="shared" si="0"/>
        <v>16.75</v>
      </c>
      <c r="T13" s="163">
        <f t="shared" si="0"/>
        <v>1876</v>
      </c>
      <c r="U13" s="163">
        <f t="shared" si="0"/>
        <v>201</v>
      </c>
      <c r="V13" s="163">
        <f t="shared" si="0"/>
        <v>0</v>
      </c>
      <c r="W13" s="163">
        <f t="shared" si="0"/>
        <v>0</v>
      </c>
      <c r="X13" s="163">
        <f t="shared" si="0"/>
        <v>330</v>
      </c>
      <c r="Y13" s="163">
        <f t="shared" si="0"/>
        <v>141</v>
      </c>
      <c r="Z13" s="163">
        <f t="shared" si="0"/>
        <v>80</v>
      </c>
      <c r="AA13" s="163">
        <f t="shared" si="0"/>
        <v>18.339999999999996</v>
      </c>
      <c r="AB13" s="163">
        <f t="shared" si="0"/>
        <v>570</v>
      </c>
      <c r="AC13" s="163">
        <f t="shared" si="0"/>
        <v>176</v>
      </c>
      <c r="AD13" s="163">
        <f t="shared" si="0"/>
        <v>480</v>
      </c>
      <c r="AE13" s="163">
        <f t="shared" si="0"/>
        <v>36.3</v>
      </c>
      <c r="AF13" s="163">
        <f t="shared" si="0"/>
        <v>9604</v>
      </c>
      <c r="AG13" s="163">
        <f t="shared" si="0"/>
        <v>345</v>
      </c>
      <c r="AH13" s="163">
        <f t="shared" si="0"/>
        <v>3626</v>
      </c>
      <c r="AI13" s="163">
        <f t="shared" si="0"/>
        <v>145.94</v>
      </c>
      <c r="AJ13" s="163">
        <f t="shared" si="0"/>
        <v>570</v>
      </c>
      <c r="AK13" s="163">
        <f t="shared" si="0"/>
        <v>30</v>
      </c>
      <c r="AL13" s="163">
        <f t="shared" si="0"/>
        <v>760</v>
      </c>
      <c r="AM13" s="163">
        <f t="shared" si="0"/>
        <v>46.43</v>
      </c>
      <c r="AN13" s="163">
        <f t="shared" si="0"/>
        <v>8298</v>
      </c>
      <c r="AO13" s="163">
        <f t="shared" si="0"/>
        <v>0</v>
      </c>
      <c r="AP13" s="163">
        <f t="shared" si="0"/>
        <v>1394</v>
      </c>
      <c r="AQ13" s="163">
        <f t="shared" si="0"/>
        <v>88.87</v>
      </c>
      <c r="AR13" s="163">
        <f t="shared" si="0"/>
        <v>1150</v>
      </c>
      <c r="AS13" s="163">
        <f t="shared" si="0"/>
        <v>0</v>
      </c>
      <c r="AT13" s="163">
        <f t="shared" si="0"/>
        <v>1228</v>
      </c>
      <c r="AU13" s="163">
        <f t="shared" si="0"/>
        <v>74.42</v>
      </c>
      <c r="AV13" s="163"/>
      <c r="AW13" s="163"/>
      <c r="AX13" s="163"/>
      <c r="AY13" s="163"/>
      <c r="AZ13" s="243"/>
    </row>
    <row r="14" spans="1:52" s="237" customFormat="1" ht="22.5" customHeight="1">
      <c r="A14" s="202" t="s">
        <v>216</v>
      </c>
      <c r="B14" s="151" t="s">
        <v>215</v>
      </c>
      <c r="C14" s="33" t="s">
        <v>331</v>
      </c>
      <c r="D14" s="2" t="s">
        <v>575</v>
      </c>
      <c r="E14" s="2" t="s">
        <v>575</v>
      </c>
      <c r="F14" s="2">
        <v>6</v>
      </c>
      <c r="G14" s="91">
        <v>6.63</v>
      </c>
      <c r="H14" s="91">
        <v>1470</v>
      </c>
      <c r="I14" s="2" t="s">
        <v>610</v>
      </c>
      <c r="J14" s="91">
        <v>300</v>
      </c>
      <c r="K14" s="91">
        <v>9.65</v>
      </c>
      <c r="L14" s="145"/>
      <c r="M14" s="145"/>
      <c r="N14" s="145">
        <v>150</v>
      </c>
      <c r="O14" s="30">
        <v>2</v>
      </c>
      <c r="P14" s="33"/>
      <c r="Q14" s="33"/>
      <c r="R14" s="33"/>
      <c r="S14" s="33"/>
      <c r="T14" s="91">
        <v>840</v>
      </c>
      <c r="U14" s="91">
        <v>0</v>
      </c>
      <c r="V14" s="33"/>
      <c r="W14" s="33"/>
      <c r="X14" s="195">
        <v>570</v>
      </c>
      <c r="Y14" s="195">
        <v>0</v>
      </c>
      <c r="Z14" s="195">
        <v>150</v>
      </c>
      <c r="AA14" s="195">
        <v>7.5</v>
      </c>
      <c r="AB14" s="203">
        <f>43*30</f>
        <v>1290</v>
      </c>
      <c r="AC14" s="203">
        <v>0</v>
      </c>
      <c r="AD14" s="67">
        <v>0</v>
      </c>
      <c r="AE14" s="227">
        <v>0</v>
      </c>
      <c r="AF14" s="33"/>
      <c r="AG14" s="33"/>
      <c r="AH14" s="33">
        <v>75</v>
      </c>
      <c r="AI14" s="33">
        <v>3.89</v>
      </c>
      <c r="AJ14" s="33"/>
      <c r="AK14" s="33"/>
      <c r="AL14" s="33"/>
      <c r="AM14" s="33"/>
      <c r="AN14" s="33"/>
      <c r="AO14" s="33"/>
      <c r="AP14" s="33"/>
      <c r="AQ14" s="33"/>
      <c r="AR14" s="302">
        <v>11</v>
      </c>
      <c r="AS14" s="302">
        <v>0</v>
      </c>
      <c r="AT14" s="286">
        <v>180</v>
      </c>
      <c r="AU14" s="287">
        <v>11.7</v>
      </c>
      <c r="AV14" s="33" t="s">
        <v>333</v>
      </c>
      <c r="AW14" s="145">
        <v>25</v>
      </c>
      <c r="AX14" s="145" t="s">
        <v>10</v>
      </c>
      <c r="AY14" s="33"/>
      <c r="AZ14" s="120" t="s">
        <v>329</v>
      </c>
    </row>
    <row r="15" spans="1:52" s="237" customFormat="1" ht="21.75" customHeight="1">
      <c r="A15" s="202" t="s">
        <v>217</v>
      </c>
      <c r="B15" s="151" t="s">
        <v>215</v>
      </c>
      <c r="C15" s="33" t="s">
        <v>332</v>
      </c>
      <c r="D15" s="2">
        <v>1053</v>
      </c>
      <c r="E15" s="2">
        <v>0</v>
      </c>
      <c r="F15" s="132">
        <v>1053</v>
      </c>
      <c r="G15" s="91">
        <v>68.73</v>
      </c>
      <c r="H15" s="91">
        <v>62370</v>
      </c>
      <c r="I15" s="2" t="s">
        <v>610</v>
      </c>
      <c r="J15" s="91">
        <f>540*40</f>
        <v>21600</v>
      </c>
      <c r="K15" s="91">
        <v>270</v>
      </c>
      <c r="L15" s="145">
        <v>25760</v>
      </c>
      <c r="M15" s="145">
        <v>0</v>
      </c>
      <c r="N15" s="145">
        <v>2400</v>
      </c>
      <c r="O15" s="30">
        <v>9</v>
      </c>
      <c r="P15" s="33"/>
      <c r="Q15" s="33"/>
      <c r="R15" s="33"/>
      <c r="S15" s="33"/>
      <c r="T15" s="91">
        <v>20920</v>
      </c>
      <c r="U15" s="91">
        <v>0</v>
      </c>
      <c r="V15" s="68">
        <v>6000</v>
      </c>
      <c r="W15" s="68">
        <v>54.15</v>
      </c>
      <c r="X15" s="68"/>
      <c r="Y15" s="68"/>
      <c r="Z15" s="68"/>
      <c r="AA15" s="68"/>
      <c r="AB15" s="203">
        <f>2412*40</f>
        <v>96480</v>
      </c>
      <c r="AC15" s="203">
        <v>0</v>
      </c>
      <c r="AD15" s="203">
        <v>10185</v>
      </c>
      <c r="AE15" s="227">
        <v>488</v>
      </c>
      <c r="AF15" s="33"/>
      <c r="AG15" s="33"/>
      <c r="AH15" s="33">
        <f>40*630</f>
        <v>25200</v>
      </c>
      <c r="AI15" s="33">
        <v>274.05</v>
      </c>
      <c r="AJ15" s="33"/>
      <c r="AK15" s="33"/>
      <c r="AL15" s="33"/>
      <c r="AM15" s="33"/>
      <c r="AN15" s="33"/>
      <c r="AO15" s="33"/>
      <c r="AP15" s="33"/>
      <c r="AQ15" s="33"/>
      <c r="AR15" s="302">
        <v>0</v>
      </c>
      <c r="AS15" s="302">
        <v>0</v>
      </c>
      <c r="AT15" s="286">
        <v>4800</v>
      </c>
      <c r="AU15" s="287">
        <v>66.12</v>
      </c>
      <c r="AV15" s="33" t="s">
        <v>81</v>
      </c>
      <c r="AW15" s="145" t="s">
        <v>978</v>
      </c>
      <c r="AX15" s="33" t="s">
        <v>16</v>
      </c>
      <c r="AY15" s="33"/>
      <c r="AZ15" s="120" t="s">
        <v>330</v>
      </c>
    </row>
    <row r="16" spans="1:52" s="311" customFormat="1" ht="15.75">
      <c r="A16" s="298"/>
      <c r="B16" s="1273" t="s">
        <v>14</v>
      </c>
      <c r="C16" s="1273"/>
      <c r="D16" s="163">
        <f>SUM(D14:D15)</f>
        <v>1053</v>
      </c>
      <c r="E16" s="163">
        <f aca="true" t="shared" si="1" ref="E16:AU16">SUM(E14:E15)</f>
        <v>0</v>
      </c>
      <c r="F16" s="163">
        <f t="shared" si="1"/>
        <v>1059</v>
      </c>
      <c r="G16" s="163">
        <f t="shared" si="1"/>
        <v>75.36</v>
      </c>
      <c r="H16" s="163">
        <f t="shared" si="1"/>
        <v>63840</v>
      </c>
      <c r="I16" s="163">
        <f t="shared" si="1"/>
        <v>0</v>
      </c>
      <c r="J16" s="163">
        <f t="shared" si="1"/>
        <v>21900</v>
      </c>
      <c r="K16" s="163">
        <f t="shared" si="1"/>
        <v>279.65</v>
      </c>
      <c r="L16" s="163">
        <f t="shared" si="1"/>
        <v>25760</v>
      </c>
      <c r="M16" s="163">
        <f t="shared" si="1"/>
        <v>0</v>
      </c>
      <c r="N16" s="163">
        <f t="shared" si="1"/>
        <v>2550</v>
      </c>
      <c r="O16" s="163">
        <f t="shared" si="1"/>
        <v>11</v>
      </c>
      <c r="P16" s="163">
        <f t="shared" si="1"/>
        <v>0</v>
      </c>
      <c r="Q16" s="163">
        <f t="shared" si="1"/>
        <v>0</v>
      </c>
      <c r="R16" s="163">
        <f t="shared" si="1"/>
        <v>0</v>
      </c>
      <c r="S16" s="163">
        <f t="shared" si="1"/>
        <v>0</v>
      </c>
      <c r="T16" s="163">
        <f t="shared" si="1"/>
        <v>21760</v>
      </c>
      <c r="U16" s="163">
        <f t="shared" si="1"/>
        <v>0</v>
      </c>
      <c r="V16" s="163">
        <f t="shared" si="1"/>
        <v>6000</v>
      </c>
      <c r="W16" s="163">
        <f t="shared" si="1"/>
        <v>54.15</v>
      </c>
      <c r="X16" s="163">
        <f t="shared" si="1"/>
        <v>570</v>
      </c>
      <c r="Y16" s="163">
        <f t="shared" si="1"/>
        <v>0</v>
      </c>
      <c r="Z16" s="163">
        <f t="shared" si="1"/>
        <v>150</v>
      </c>
      <c r="AA16" s="163">
        <f t="shared" si="1"/>
        <v>7.5</v>
      </c>
      <c r="AB16" s="163">
        <f t="shared" si="1"/>
        <v>97770</v>
      </c>
      <c r="AC16" s="163">
        <f t="shared" si="1"/>
        <v>0</v>
      </c>
      <c r="AD16" s="163">
        <f t="shared" si="1"/>
        <v>10185</v>
      </c>
      <c r="AE16" s="163">
        <f t="shared" si="1"/>
        <v>488</v>
      </c>
      <c r="AF16" s="163">
        <f t="shared" si="1"/>
        <v>0</v>
      </c>
      <c r="AG16" s="163">
        <f t="shared" si="1"/>
        <v>0</v>
      </c>
      <c r="AH16" s="163">
        <f t="shared" si="1"/>
        <v>25275</v>
      </c>
      <c r="AI16" s="163">
        <f t="shared" si="1"/>
        <v>277.94</v>
      </c>
      <c r="AJ16" s="163">
        <f t="shared" si="1"/>
        <v>0</v>
      </c>
      <c r="AK16" s="163">
        <f t="shared" si="1"/>
        <v>0</v>
      </c>
      <c r="AL16" s="163">
        <f t="shared" si="1"/>
        <v>0</v>
      </c>
      <c r="AM16" s="163">
        <f t="shared" si="1"/>
        <v>0</v>
      </c>
      <c r="AN16" s="163">
        <f t="shared" si="1"/>
        <v>0</v>
      </c>
      <c r="AO16" s="163">
        <f t="shared" si="1"/>
        <v>0</v>
      </c>
      <c r="AP16" s="163">
        <f t="shared" si="1"/>
        <v>0</v>
      </c>
      <c r="AQ16" s="163">
        <f t="shared" si="1"/>
        <v>0</v>
      </c>
      <c r="AR16" s="163">
        <f t="shared" si="1"/>
        <v>11</v>
      </c>
      <c r="AS16" s="163">
        <f t="shared" si="1"/>
        <v>0</v>
      </c>
      <c r="AT16" s="163">
        <f t="shared" si="1"/>
        <v>4980</v>
      </c>
      <c r="AU16" s="163">
        <f t="shared" si="1"/>
        <v>77.82000000000001</v>
      </c>
      <c r="AV16" s="163"/>
      <c r="AW16" s="163"/>
      <c r="AX16" s="163"/>
      <c r="AY16" s="163"/>
      <c r="AZ16" s="243"/>
    </row>
    <row r="17" spans="1:52" s="237" customFormat="1" ht="15.75">
      <c r="A17" s="182" t="s">
        <v>925</v>
      </c>
      <c r="B17" s="103" t="s">
        <v>653</v>
      </c>
      <c r="C17" s="33" t="s">
        <v>475</v>
      </c>
      <c r="D17" s="33"/>
      <c r="E17" s="33"/>
      <c r="F17" s="33"/>
      <c r="G17" s="33"/>
      <c r="H17" s="95"/>
      <c r="I17" s="95"/>
      <c r="J17" s="95"/>
      <c r="K17" s="95"/>
      <c r="L17" s="145"/>
      <c r="M17" s="145"/>
      <c r="N17" s="145">
        <v>2</v>
      </c>
      <c r="O17" s="145">
        <v>0.97</v>
      </c>
      <c r="P17" s="95"/>
      <c r="Q17" s="95"/>
      <c r="R17" s="95"/>
      <c r="S17" s="95"/>
      <c r="T17" s="33"/>
      <c r="U17" s="33"/>
      <c r="V17" s="33"/>
      <c r="W17" s="33"/>
      <c r="X17" s="195">
        <v>48</v>
      </c>
      <c r="Y17" s="195">
        <v>44</v>
      </c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33"/>
      <c r="AW17" s="195" t="s">
        <v>978</v>
      </c>
      <c r="AX17" s="195" t="s">
        <v>575</v>
      </c>
      <c r="AY17" s="195" t="s">
        <v>306</v>
      </c>
      <c r="AZ17" s="265" t="s">
        <v>306</v>
      </c>
    </row>
    <row r="18" spans="1:52" s="237" customFormat="1" ht="45">
      <c r="A18" s="316" t="s">
        <v>652</v>
      </c>
      <c r="B18" s="103" t="s">
        <v>653</v>
      </c>
      <c r="C18" s="145" t="s">
        <v>654</v>
      </c>
      <c r="D18" s="2">
        <v>463</v>
      </c>
      <c r="E18" s="2">
        <v>0</v>
      </c>
      <c r="F18" s="91">
        <v>284</v>
      </c>
      <c r="G18" s="91">
        <v>55.63</v>
      </c>
      <c r="H18" s="143"/>
      <c r="I18" s="143"/>
      <c r="J18" s="143"/>
      <c r="K18" s="143"/>
      <c r="L18" s="145"/>
      <c r="M18" s="145"/>
      <c r="N18" s="145">
        <v>27</v>
      </c>
      <c r="O18" s="145">
        <v>9.59</v>
      </c>
      <c r="P18" s="95"/>
      <c r="Q18" s="95"/>
      <c r="R18" s="95"/>
      <c r="S18" s="95"/>
      <c r="T18" s="91">
        <v>1100</v>
      </c>
      <c r="U18" s="91">
        <v>220</v>
      </c>
      <c r="V18" s="68"/>
      <c r="W18" s="68"/>
      <c r="X18" s="195">
        <v>960</v>
      </c>
      <c r="Y18" s="195">
        <v>769</v>
      </c>
      <c r="Z18" s="169"/>
      <c r="AA18" s="169"/>
      <c r="AB18" s="169"/>
      <c r="AC18" s="169"/>
      <c r="AD18" s="169"/>
      <c r="AE18" s="169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1" t="s">
        <v>15</v>
      </c>
      <c r="AW18" s="68">
        <v>50</v>
      </c>
      <c r="AX18" s="2" t="s">
        <v>655</v>
      </c>
      <c r="AY18" s="145" t="s">
        <v>306</v>
      </c>
      <c r="AZ18" s="121" t="s">
        <v>656</v>
      </c>
    </row>
    <row r="19" spans="1:52" s="237" customFormat="1" ht="45">
      <c r="A19" s="317" t="s">
        <v>581</v>
      </c>
      <c r="B19" s="299" t="s">
        <v>582</v>
      </c>
      <c r="C19" s="94" t="s">
        <v>583</v>
      </c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143">
        <v>1320</v>
      </c>
      <c r="Q19" s="143">
        <v>0</v>
      </c>
      <c r="R19" s="143">
        <v>2100</v>
      </c>
      <c r="S19" s="143">
        <v>26.65</v>
      </c>
      <c r="T19" s="143"/>
      <c r="U19" s="143"/>
      <c r="V19" s="91"/>
      <c r="W19" s="91"/>
      <c r="X19" s="195">
        <v>23040</v>
      </c>
      <c r="Y19" s="195">
        <v>0</v>
      </c>
      <c r="Z19" s="195">
        <v>5764</v>
      </c>
      <c r="AA19" s="195">
        <v>133.3</v>
      </c>
      <c r="AB19" s="203">
        <v>0</v>
      </c>
      <c r="AC19" s="203">
        <v>0</v>
      </c>
      <c r="AD19" s="203">
        <f>AG19*AH19</f>
        <v>0</v>
      </c>
      <c r="AE19" s="227">
        <v>77</v>
      </c>
      <c r="AF19" s="95"/>
      <c r="AG19" s="95"/>
      <c r="AH19" s="95"/>
      <c r="AI19" s="95"/>
      <c r="AJ19" s="2">
        <v>249</v>
      </c>
      <c r="AK19" s="2">
        <v>0</v>
      </c>
      <c r="AL19" s="2" t="s">
        <v>798</v>
      </c>
      <c r="AM19" s="91">
        <v>49.8</v>
      </c>
      <c r="AN19" s="91"/>
      <c r="AO19" s="91"/>
      <c r="AP19" s="91"/>
      <c r="AQ19" s="91"/>
      <c r="AR19" s="91"/>
      <c r="AS19" s="91"/>
      <c r="AT19" s="91"/>
      <c r="AU19" s="91"/>
      <c r="AV19" s="145" t="s">
        <v>584</v>
      </c>
      <c r="AW19" s="68" t="s">
        <v>575</v>
      </c>
      <c r="AX19" s="145" t="s">
        <v>585</v>
      </c>
      <c r="AY19" s="145" t="s">
        <v>306</v>
      </c>
      <c r="AZ19" s="116" t="s">
        <v>586</v>
      </c>
    </row>
    <row r="20" spans="1:52" s="237" customFormat="1" ht="47.25">
      <c r="A20" s="318" t="s">
        <v>657</v>
      </c>
      <c r="B20" s="35" t="s">
        <v>658</v>
      </c>
      <c r="C20" s="55" t="s">
        <v>659</v>
      </c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143"/>
      <c r="Q20" s="143"/>
      <c r="R20" s="143"/>
      <c r="S20" s="143"/>
      <c r="T20" s="91">
        <v>120</v>
      </c>
      <c r="U20" s="91">
        <v>0</v>
      </c>
      <c r="V20" s="143"/>
      <c r="W20" s="143"/>
      <c r="X20" s="143"/>
      <c r="Y20" s="143"/>
      <c r="Z20" s="143"/>
      <c r="AA20" s="143"/>
      <c r="AB20" s="195">
        <v>0</v>
      </c>
      <c r="AC20" s="195">
        <v>0</v>
      </c>
      <c r="AD20" s="145">
        <v>20</v>
      </c>
      <c r="AE20" s="291">
        <v>2.25</v>
      </c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302">
        <v>15</v>
      </c>
      <c r="AS20" s="302">
        <v>0</v>
      </c>
      <c r="AT20" s="286">
        <v>30</v>
      </c>
      <c r="AU20" s="287">
        <v>1.9</v>
      </c>
      <c r="AV20" s="91" t="s">
        <v>12</v>
      </c>
      <c r="AW20" s="68">
        <v>30</v>
      </c>
      <c r="AX20" s="2" t="s">
        <v>984</v>
      </c>
      <c r="AY20" s="149"/>
      <c r="AZ20" s="160"/>
    </row>
    <row r="21" spans="1:52" s="237" customFormat="1" ht="16.5" thickBot="1">
      <c r="A21" s="315" t="s">
        <v>901</v>
      </c>
      <c r="B21" s="157" t="s">
        <v>900</v>
      </c>
      <c r="C21" s="304" t="s">
        <v>78</v>
      </c>
      <c r="D21" s="304" t="s">
        <v>575</v>
      </c>
      <c r="E21" s="304" t="s">
        <v>575</v>
      </c>
      <c r="F21" s="304">
        <v>486</v>
      </c>
      <c r="G21" s="305">
        <v>2.24</v>
      </c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5"/>
      <c r="U21" s="305"/>
      <c r="V21" s="306"/>
      <c r="W21" s="306"/>
      <c r="X21" s="306"/>
      <c r="Y21" s="306"/>
      <c r="Z21" s="306"/>
      <c r="AA21" s="306"/>
      <c r="AB21" s="307"/>
      <c r="AC21" s="307"/>
      <c r="AD21" s="126"/>
      <c r="AE21" s="308"/>
      <c r="AF21" s="309"/>
      <c r="AG21" s="309"/>
      <c r="AH21" s="309"/>
      <c r="AI21" s="309"/>
      <c r="AJ21" s="309"/>
      <c r="AK21" s="309"/>
      <c r="AL21" s="309"/>
      <c r="AM21" s="309"/>
      <c r="AN21" s="309"/>
      <c r="AO21" s="309"/>
      <c r="AP21" s="309"/>
      <c r="AQ21" s="309"/>
      <c r="AR21" s="309"/>
      <c r="AS21" s="309"/>
      <c r="AT21" s="309"/>
      <c r="AU21" s="309"/>
      <c r="AV21" s="305" t="s">
        <v>685</v>
      </c>
      <c r="AW21" s="305">
        <v>40</v>
      </c>
      <c r="AX21" s="305" t="s">
        <v>276</v>
      </c>
      <c r="AY21" s="305" t="s">
        <v>306</v>
      </c>
      <c r="AZ21" s="310" t="s">
        <v>902</v>
      </c>
    </row>
    <row r="22" spans="1:52" s="311" customFormat="1" ht="16.5" thickBot="1">
      <c r="A22" s="312"/>
      <c r="B22" s="1036" t="s">
        <v>14</v>
      </c>
      <c r="C22" s="1036"/>
      <c r="D22" s="270">
        <f>SUM(D17:D21)</f>
        <v>463</v>
      </c>
      <c r="E22" s="270">
        <f aca="true" t="shared" si="2" ref="E22:AU22">SUM(E17:E21)</f>
        <v>0</v>
      </c>
      <c r="F22" s="270">
        <f t="shared" si="2"/>
        <v>770</v>
      </c>
      <c r="G22" s="270">
        <f t="shared" si="2"/>
        <v>57.870000000000005</v>
      </c>
      <c r="H22" s="270">
        <f t="shared" si="2"/>
        <v>0</v>
      </c>
      <c r="I22" s="270">
        <f t="shared" si="2"/>
        <v>0</v>
      </c>
      <c r="J22" s="270">
        <f t="shared" si="2"/>
        <v>0</v>
      </c>
      <c r="K22" s="270">
        <f t="shared" si="2"/>
        <v>0</v>
      </c>
      <c r="L22" s="270">
        <f t="shared" si="2"/>
        <v>0</v>
      </c>
      <c r="M22" s="270">
        <f t="shared" si="2"/>
        <v>0</v>
      </c>
      <c r="N22" s="270">
        <f t="shared" si="2"/>
        <v>29</v>
      </c>
      <c r="O22" s="270">
        <f t="shared" si="2"/>
        <v>10.56</v>
      </c>
      <c r="P22" s="270">
        <f t="shared" si="2"/>
        <v>1320</v>
      </c>
      <c r="Q22" s="270">
        <f t="shared" si="2"/>
        <v>0</v>
      </c>
      <c r="R22" s="270">
        <f t="shared" si="2"/>
        <v>2100</v>
      </c>
      <c r="S22" s="270">
        <f t="shared" si="2"/>
        <v>26.65</v>
      </c>
      <c r="T22" s="270">
        <f t="shared" si="2"/>
        <v>1220</v>
      </c>
      <c r="U22" s="270">
        <f t="shared" si="2"/>
        <v>220</v>
      </c>
      <c r="V22" s="270">
        <f t="shared" si="2"/>
        <v>0</v>
      </c>
      <c r="W22" s="270">
        <f t="shared" si="2"/>
        <v>0</v>
      </c>
      <c r="X22" s="270">
        <f t="shared" si="2"/>
        <v>24048</v>
      </c>
      <c r="Y22" s="270">
        <f t="shared" si="2"/>
        <v>813</v>
      </c>
      <c r="Z22" s="270">
        <f t="shared" si="2"/>
        <v>5764</v>
      </c>
      <c r="AA22" s="270">
        <f t="shared" si="2"/>
        <v>133.3</v>
      </c>
      <c r="AB22" s="270">
        <f t="shared" si="2"/>
        <v>0</v>
      </c>
      <c r="AC22" s="270">
        <f t="shared" si="2"/>
        <v>0</v>
      </c>
      <c r="AD22" s="270">
        <f t="shared" si="2"/>
        <v>20</v>
      </c>
      <c r="AE22" s="270">
        <f t="shared" si="2"/>
        <v>79.25</v>
      </c>
      <c r="AF22" s="270">
        <f t="shared" si="2"/>
        <v>0</v>
      </c>
      <c r="AG22" s="270">
        <f t="shared" si="2"/>
        <v>0</v>
      </c>
      <c r="AH22" s="270">
        <f t="shared" si="2"/>
        <v>0</v>
      </c>
      <c r="AI22" s="270">
        <f t="shared" si="2"/>
        <v>0</v>
      </c>
      <c r="AJ22" s="270">
        <f t="shared" si="2"/>
        <v>249</v>
      </c>
      <c r="AK22" s="270">
        <f t="shared" si="2"/>
        <v>0</v>
      </c>
      <c r="AL22" s="270">
        <f t="shared" si="2"/>
        <v>0</v>
      </c>
      <c r="AM22" s="270">
        <f t="shared" si="2"/>
        <v>49.8</v>
      </c>
      <c r="AN22" s="270">
        <f t="shared" si="2"/>
        <v>0</v>
      </c>
      <c r="AO22" s="270">
        <f t="shared" si="2"/>
        <v>0</v>
      </c>
      <c r="AP22" s="270">
        <f t="shared" si="2"/>
        <v>0</v>
      </c>
      <c r="AQ22" s="270">
        <f t="shared" si="2"/>
        <v>0</v>
      </c>
      <c r="AR22" s="270">
        <f t="shared" si="2"/>
        <v>15</v>
      </c>
      <c r="AS22" s="270">
        <f t="shared" si="2"/>
        <v>0</v>
      </c>
      <c r="AT22" s="270">
        <f t="shared" si="2"/>
        <v>30</v>
      </c>
      <c r="AU22" s="270">
        <f t="shared" si="2"/>
        <v>1.9</v>
      </c>
      <c r="AV22" s="270"/>
      <c r="AW22" s="270"/>
      <c r="AX22" s="270"/>
      <c r="AY22" s="270"/>
      <c r="AZ22" s="313"/>
    </row>
    <row r="23" spans="1:52" s="311" customFormat="1" ht="16.5" thickBot="1">
      <c r="A23" s="300"/>
      <c r="B23" s="1168" t="s">
        <v>17</v>
      </c>
      <c r="C23" s="1168"/>
      <c r="D23" s="164">
        <f>SUM(D13,D16,D22)</f>
        <v>1636</v>
      </c>
      <c r="E23" s="164">
        <f aca="true" t="shared" si="3" ref="E23:AU23">SUM(E13,E16,E22)</f>
        <v>25</v>
      </c>
      <c r="F23" s="164">
        <f t="shared" si="3"/>
        <v>2281</v>
      </c>
      <c r="G23" s="164">
        <f t="shared" si="3"/>
        <v>152.31</v>
      </c>
      <c r="H23" s="164">
        <f t="shared" si="3"/>
        <v>65920</v>
      </c>
      <c r="I23" s="164">
        <f t="shared" si="3"/>
        <v>0</v>
      </c>
      <c r="J23" s="164">
        <f t="shared" si="3"/>
        <v>23730</v>
      </c>
      <c r="K23" s="164">
        <f t="shared" si="3"/>
        <v>385.28999999999996</v>
      </c>
      <c r="L23" s="164">
        <f t="shared" si="3"/>
        <v>26000</v>
      </c>
      <c r="M23" s="164">
        <f t="shared" si="3"/>
        <v>8</v>
      </c>
      <c r="N23" s="164">
        <f t="shared" si="3"/>
        <v>2939</v>
      </c>
      <c r="O23" s="164">
        <f t="shared" si="3"/>
        <v>41.6</v>
      </c>
      <c r="P23" s="164">
        <f t="shared" si="3"/>
        <v>1449</v>
      </c>
      <c r="Q23" s="164">
        <f t="shared" si="3"/>
        <v>35</v>
      </c>
      <c r="R23" s="164">
        <f t="shared" si="3"/>
        <v>2399</v>
      </c>
      <c r="S23" s="164">
        <f t="shared" si="3"/>
        <v>43.4</v>
      </c>
      <c r="T23" s="164">
        <f t="shared" si="3"/>
        <v>24856</v>
      </c>
      <c r="U23" s="164">
        <f t="shared" si="3"/>
        <v>421</v>
      </c>
      <c r="V23" s="164">
        <f t="shared" si="3"/>
        <v>6000</v>
      </c>
      <c r="W23" s="164">
        <f t="shared" si="3"/>
        <v>54.15</v>
      </c>
      <c r="X23" s="164">
        <f t="shared" si="3"/>
        <v>24948</v>
      </c>
      <c r="Y23" s="164">
        <f t="shared" si="3"/>
        <v>954</v>
      </c>
      <c r="Z23" s="164">
        <f t="shared" si="3"/>
        <v>5994</v>
      </c>
      <c r="AA23" s="164">
        <f t="shared" si="3"/>
        <v>159.14000000000001</v>
      </c>
      <c r="AB23" s="164">
        <f t="shared" si="3"/>
        <v>98340</v>
      </c>
      <c r="AC23" s="164">
        <f t="shared" si="3"/>
        <v>176</v>
      </c>
      <c r="AD23" s="164">
        <f t="shared" si="3"/>
        <v>10685</v>
      </c>
      <c r="AE23" s="164">
        <f t="shared" si="3"/>
        <v>603.55</v>
      </c>
      <c r="AF23" s="164">
        <f t="shared" si="3"/>
        <v>9604</v>
      </c>
      <c r="AG23" s="164">
        <f t="shared" si="3"/>
        <v>345</v>
      </c>
      <c r="AH23" s="164">
        <f t="shared" si="3"/>
        <v>28901</v>
      </c>
      <c r="AI23" s="164">
        <f t="shared" si="3"/>
        <v>423.88</v>
      </c>
      <c r="AJ23" s="164">
        <f t="shared" si="3"/>
        <v>819</v>
      </c>
      <c r="AK23" s="164">
        <f t="shared" si="3"/>
        <v>30</v>
      </c>
      <c r="AL23" s="164">
        <f t="shared" si="3"/>
        <v>760</v>
      </c>
      <c r="AM23" s="164">
        <f t="shared" si="3"/>
        <v>96.22999999999999</v>
      </c>
      <c r="AN23" s="164">
        <f t="shared" si="3"/>
        <v>8298</v>
      </c>
      <c r="AO23" s="164">
        <f t="shared" si="3"/>
        <v>0</v>
      </c>
      <c r="AP23" s="164">
        <f t="shared" si="3"/>
        <v>1394</v>
      </c>
      <c r="AQ23" s="164">
        <f t="shared" si="3"/>
        <v>88.87</v>
      </c>
      <c r="AR23" s="164">
        <f t="shared" si="3"/>
        <v>1176</v>
      </c>
      <c r="AS23" s="164">
        <f t="shared" si="3"/>
        <v>0</v>
      </c>
      <c r="AT23" s="164">
        <f t="shared" si="3"/>
        <v>6238</v>
      </c>
      <c r="AU23" s="164">
        <f t="shared" si="3"/>
        <v>154.14000000000001</v>
      </c>
      <c r="AV23" s="164"/>
      <c r="AW23" s="164"/>
      <c r="AX23" s="164"/>
      <c r="AY23" s="164"/>
      <c r="AZ23" s="250"/>
    </row>
    <row r="24" ht="15.75">
      <c r="B24" s="190"/>
    </row>
  </sheetData>
  <sheetProtection/>
  <mergeCells count="51">
    <mergeCell ref="Z4:AA4"/>
    <mergeCell ref="L3:O3"/>
    <mergeCell ref="B23:C23"/>
    <mergeCell ref="B4:B5"/>
    <mergeCell ref="C4:C5"/>
    <mergeCell ref="B16:C16"/>
    <mergeCell ref="AR3:AU3"/>
    <mergeCell ref="AR4:AS4"/>
    <mergeCell ref="AT4:AU4"/>
    <mergeCell ref="X3:AA3"/>
    <mergeCell ref="X4:Y4"/>
    <mergeCell ref="AD4:AE4"/>
    <mergeCell ref="D3:G3"/>
    <mergeCell ref="D4:E4"/>
    <mergeCell ref="F4:G4"/>
    <mergeCell ref="N4:O4"/>
    <mergeCell ref="A6:A7"/>
    <mergeCell ref="B6:B7"/>
    <mergeCell ref="H3:K3"/>
    <mergeCell ref="H4:I4"/>
    <mergeCell ref="J4:K4"/>
    <mergeCell ref="AW4:AW5"/>
    <mergeCell ref="AX4:AX5"/>
    <mergeCell ref="AF3:AI3"/>
    <mergeCell ref="P3:S3"/>
    <mergeCell ref="P4:Q4"/>
    <mergeCell ref="R4:S4"/>
    <mergeCell ref="AJ3:AM3"/>
    <mergeCell ref="T3:W3"/>
    <mergeCell ref="T4:U4"/>
    <mergeCell ref="V4:W4"/>
    <mergeCell ref="AB3:AE3"/>
    <mergeCell ref="A1:AZ1"/>
    <mergeCell ref="A2:AZ2"/>
    <mergeCell ref="A4:A5"/>
    <mergeCell ref="B13:C13"/>
    <mergeCell ref="AY4:AY5"/>
    <mergeCell ref="AZ4:AZ5"/>
    <mergeCell ref="AF4:AG4"/>
    <mergeCell ref="AH4:AI4"/>
    <mergeCell ref="AV4:AV5"/>
    <mergeCell ref="AB4:AC4"/>
    <mergeCell ref="L4:M4"/>
    <mergeCell ref="AV3:AZ3"/>
    <mergeCell ref="B22:C22"/>
    <mergeCell ref="AN3:AQ3"/>
    <mergeCell ref="AN4:AO4"/>
    <mergeCell ref="AP4:AQ4"/>
    <mergeCell ref="A3:C3"/>
    <mergeCell ref="AJ4:AK4"/>
    <mergeCell ref="AL4:AM4"/>
  </mergeCells>
  <printOptions/>
  <pageMargins left="0.38" right="0.15748031496062992" top="0.2" bottom="0.1968503937007874" header="0.15748031496062992" footer="1.97"/>
  <pageSetup horizontalDpi="600" verticalDpi="600" orientation="landscape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Z29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5"/>
  <cols>
    <col min="1" max="1" width="13.00390625" style="311" customWidth="1"/>
    <col min="2" max="2" width="28.28125" style="311" customWidth="1"/>
    <col min="3" max="3" width="35.8515625" style="197" customWidth="1"/>
    <col min="4" max="4" width="7.140625" style="197" customWidth="1"/>
    <col min="5" max="5" width="6.28125" style="197" customWidth="1"/>
    <col min="6" max="6" width="7.7109375" style="197" customWidth="1"/>
    <col min="7" max="7" width="6.28125" style="197" customWidth="1"/>
    <col min="8" max="15" width="7.140625" style="197" customWidth="1"/>
    <col min="16" max="19" width="7.7109375" style="197" customWidth="1"/>
    <col min="20" max="23" width="8.00390625" style="197" customWidth="1"/>
    <col min="24" max="24" width="7.140625" style="197" customWidth="1"/>
    <col min="25" max="26" width="6.8515625" style="197" customWidth="1"/>
    <col min="27" max="27" width="6.28125" style="197" customWidth="1"/>
    <col min="28" max="28" width="7.7109375" style="197" customWidth="1"/>
    <col min="29" max="29" width="6.28125" style="197" customWidth="1"/>
    <col min="30" max="30" width="7.140625" style="197" customWidth="1"/>
    <col min="31" max="31" width="6.28125" style="197" customWidth="1"/>
    <col min="32" max="32" width="7.140625" style="197" customWidth="1"/>
    <col min="33" max="43" width="6.28125" style="197" customWidth="1"/>
    <col min="44" max="47" width="8.00390625" style="197" customWidth="1"/>
    <col min="48" max="48" width="11.00390625" style="197" customWidth="1"/>
    <col min="49" max="49" width="21.421875" style="197" bestFit="1" customWidth="1"/>
    <col min="50" max="50" width="19.140625" style="197" customWidth="1"/>
    <col min="51" max="51" width="22.7109375" style="301" customWidth="1"/>
    <col min="52" max="52" width="30.7109375" style="301" customWidth="1"/>
    <col min="53" max="16384" width="9.140625" style="197" customWidth="1"/>
  </cols>
  <sheetData>
    <row r="1" spans="1:52" ht="15.75" thickBot="1">
      <c r="A1" s="1181" t="s">
        <v>0</v>
      </c>
      <c r="B1" s="1280"/>
      <c r="C1" s="1280"/>
      <c r="D1" s="1280"/>
      <c r="E1" s="1280"/>
      <c r="F1" s="1280"/>
      <c r="G1" s="1280"/>
      <c r="H1" s="1280"/>
      <c r="I1" s="1280"/>
      <c r="J1" s="1280"/>
      <c r="K1" s="1280"/>
      <c r="L1" s="1280"/>
      <c r="M1" s="1280"/>
      <c r="N1" s="1280"/>
      <c r="O1" s="1280"/>
      <c r="P1" s="1280"/>
      <c r="Q1" s="1280"/>
      <c r="R1" s="1280"/>
      <c r="S1" s="1280"/>
      <c r="T1" s="1280"/>
      <c r="U1" s="1280"/>
      <c r="V1" s="1280"/>
      <c r="W1" s="1280"/>
      <c r="X1" s="1280"/>
      <c r="Y1" s="1280"/>
      <c r="Z1" s="1280"/>
      <c r="AA1" s="1280"/>
      <c r="AB1" s="1280"/>
      <c r="AC1" s="1280"/>
      <c r="AD1" s="1280"/>
      <c r="AE1" s="1280"/>
      <c r="AF1" s="1280"/>
      <c r="AG1" s="1280"/>
      <c r="AH1" s="1280"/>
      <c r="AI1" s="1280"/>
      <c r="AJ1" s="1280"/>
      <c r="AK1" s="1280"/>
      <c r="AL1" s="1280"/>
      <c r="AM1" s="1280"/>
      <c r="AN1" s="1280"/>
      <c r="AO1" s="1280"/>
      <c r="AP1" s="1280"/>
      <c r="AQ1" s="1280"/>
      <c r="AR1" s="1280"/>
      <c r="AS1" s="1280"/>
      <c r="AT1" s="1280"/>
      <c r="AU1" s="1280"/>
      <c r="AV1" s="1280"/>
      <c r="AW1" s="1280"/>
      <c r="AX1" s="1280"/>
      <c r="AY1" s="1280"/>
      <c r="AZ1" s="1281"/>
    </row>
    <row r="2" spans="1:52" s="349" customFormat="1" ht="16.5" thickBot="1">
      <c r="A2" s="1243" t="s">
        <v>580</v>
      </c>
      <c r="B2" s="1244"/>
      <c r="C2" s="1244"/>
      <c r="D2" s="1244"/>
      <c r="E2" s="1244"/>
      <c r="F2" s="1244"/>
      <c r="G2" s="1244"/>
      <c r="H2" s="1244"/>
      <c r="I2" s="1244"/>
      <c r="J2" s="1244"/>
      <c r="K2" s="1244"/>
      <c r="L2" s="1244"/>
      <c r="M2" s="1244"/>
      <c r="N2" s="1244"/>
      <c r="O2" s="1244"/>
      <c r="P2" s="1244"/>
      <c r="Q2" s="1244"/>
      <c r="R2" s="1244"/>
      <c r="S2" s="1244"/>
      <c r="T2" s="1244"/>
      <c r="U2" s="1244"/>
      <c r="V2" s="1244"/>
      <c r="W2" s="1244"/>
      <c r="X2" s="1244"/>
      <c r="Y2" s="1244"/>
      <c r="Z2" s="1244"/>
      <c r="AA2" s="1244"/>
      <c r="AB2" s="1244"/>
      <c r="AC2" s="1244"/>
      <c r="AD2" s="1244"/>
      <c r="AE2" s="1244"/>
      <c r="AF2" s="1244"/>
      <c r="AG2" s="1244"/>
      <c r="AH2" s="1244"/>
      <c r="AI2" s="1244"/>
      <c r="AJ2" s="1244"/>
      <c r="AK2" s="1244"/>
      <c r="AL2" s="1244"/>
      <c r="AM2" s="1244"/>
      <c r="AN2" s="1244"/>
      <c r="AO2" s="1244"/>
      <c r="AP2" s="1244"/>
      <c r="AQ2" s="1244"/>
      <c r="AR2" s="1244"/>
      <c r="AS2" s="1244"/>
      <c r="AT2" s="1244"/>
      <c r="AU2" s="1244"/>
      <c r="AV2" s="1244"/>
      <c r="AW2" s="1244"/>
      <c r="AX2" s="1244"/>
      <c r="AY2" s="1244"/>
      <c r="AZ2" s="1258"/>
    </row>
    <row r="3" spans="1:52" s="349" customFormat="1" ht="18.75" customHeight="1" thickBot="1">
      <c r="A3" s="1180"/>
      <c r="B3" s="1115"/>
      <c r="C3" s="1115"/>
      <c r="D3" s="1114" t="s">
        <v>988</v>
      </c>
      <c r="E3" s="1115"/>
      <c r="F3" s="1115"/>
      <c r="G3" s="1116"/>
      <c r="H3" s="1114" t="s">
        <v>989</v>
      </c>
      <c r="I3" s="1115"/>
      <c r="J3" s="1115"/>
      <c r="K3" s="1116"/>
      <c r="L3" s="1114" t="s">
        <v>990</v>
      </c>
      <c r="M3" s="1115"/>
      <c r="N3" s="1115"/>
      <c r="O3" s="1116"/>
      <c r="P3" s="1114" t="s">
        <v>991</v>
      </c>
      <c r="Q3" s="1115"/>
      <c r="R3" s="1115"/>
      <c r="S3" s="1116"/>
      <c r="T3" s="1114" t="s">
        <v>992</v>
      </c>
      <c r="U3" s="1115"/>
      <c r="V3" s="1115"/>
      <c r="W3" s="1116"/>
      <c r="X3" s="1114" t="s">
        <v>993</v>
      </c>
      <c r="Y3" s="1115"/>
      <c r="Z3" s="1115"/>
      <c r="AA3" s="1116"/>
      <c r="AB3" s="1114" t="s">
        <v>994</v>
      </c>
      <c r="AC3" s="1115"/>
      <c r="AD3" s="1115"/>
      <c r="AE3" s="1116"/>
      <c r="AF3" s="1114" t="s">
        <v>995</v>
      </c>
      <c r="AG3" s="1115"/>
      <c r="AH3" s="1115"/>
      <c r="AI3" s="1116"/>
      <c r="AJ3" s="1114" t="s">
        <v>996</v>
      </c>
      <c r="AK3" s="1115"/>
      <c r="AL3" s="1115"/>
      <c r="AM3" s="1116"/>
      <c r="AN3" s="1114" t="s">
        <v>997</v>
      </c>
      <c r="AO3" s="1115"/>
      <c r="AP3" s="1115"/>
      <c r="AQ3" s="1116"/>
      <c r="AR3" s="1114" t="s">
        <v>998</v>
      </c>
      <c r="AS3" s="1115"/>
      <c r="AT3" s="1115"/>
      <c r="AU3" s="1116"/>
      <c r="AV3" s="1114"/>
      <c r="AW3" s="1115"/>
      <c r="AX3" s="1115"/>
      <c r="AY3" s="1116"/>
      <c r="AZ3" s="637"/>
    </row>
    <row r="4" spans="1:52" ht="18" customHeight="1">
      <c r="A4" s="1271" t="s">
        <v>116</v>
      </c>
      <c r="B4" s="1051" t="s">
        <v>2</v>
      </c>
      <c r="C4" s="1051" t="s">
        <v>3</v>
      </c>
      <c r="D4" s="1246" t="s">
        <v>112</v>
      </c>
      <c r="E4" s="1247"/>
      <c r="F4" s="1246" t="s">
        <v>113</v>
      </c>
      <c r="G4" s="1247"/>
      <c r="H4" s="1246" t="s">
        <v>112</v>
      </c>
      <c r="I4" s="1247"/>
      <c r="J4" s="1246" t="s">
        <v>113</v>
      </c>
      <c r="K4" s="1247"/>
      <c r="L4" s="1246" t="s">
        <v>112</v>
      </c>
      <c r="M4" s="1247"/>
      <c r="N4" s="1246" t="s">
        <v>113</v>
      </c>
      <c r="O4" s="1247"/>
      <c r="P4" s="1246" t="s">
        <v>112</v>
      </c>
      <c r="Q4" s="1247"/>
      <c r="R4" s="1246" t="s">
        <v>113</v>
      </c>
      <c r="S4" s="1247"/>
      <c r="T4" s="1246" t="s">
        <v>112</v>
      </c>
      <c r="U4" s="1247"/>
      <c r="V4" s="1246" t="s">
        <v>113</v>
      </c>
      <c r="W4" s="1247"/>
      <c r="X4" s="1246" t="s">
        <v>112</v>
      </c>
      <c r="Y4" s="1247"/>
      <c r="Z4" s="1246" t="s">
        <v>113</v>
      </c>
      <c r="AA4" s="1247"/>
      <c r="AB4" s="1246" t="s">
        <v>112</v>
      </c>
      <c r="AC4" s="1247"/>
      <c r="AD4" s="1246" t="s">
        <v>113</v>
      </c>
      <c r="AE4" s="1247"/>
      <c r="AF4" s="1246" t="s">
        <v>112</v>
      </c>
      <c r="AG4" s="1247"/>
      <c r="AH4" s="1246" t="s">
        <v>113</v>
      </c>
      <c r="AI4" s="1247"/>
      <c r="AJ4" s="1246" t="s">
        <v>112</v>
      </c>
      <c r="AK4" s="1247"/>
      <c r="AL4" s="1246" t="s">
        <v>113</v>
      </c>
      <c r="AM4" s="1247"/>
      <c r="AN4" s="1246" t="s">
        <v>112</v>
      </c>
      <c r="AO4" s="1247"/>
      <c r="AP4" s="1246" t="s">
        <v>113</v>
      </c>
      <c r="AQ4" s="1247"/>
      <c r="AR4" s="1246" t="s">
        <v>112</v>
      </c>
      <c r="AS4" s="1247"/>
      <c r="AT4" s="1246" t="s">
        <v>113</v>
      </c>
      <c r="AU4" s="1247"/>
      <c r="AV4" s="1117" t="s">
        <v>4</v>
      </c>
      <c r="AW4" s="1117" t="s">
        <v>122</v>
      </c>
      <c r="AX4" s="1117" t="s">
        <v>5</v>
      </c>
      <c r="AY4" s="1119" t="s">
        <v>83</v>
      </c>
      <c r="AZ4" s="1158" t="s">
        <v>84</v>
      </c>
    </row>
    <row r="5" spans="1:52" ht="90.75" customHeight="1" thickBot="1">
      <c r="A5" s="1272"/>
      <c r="B5" s="1052"/>
      <c r="C5" s="1052"/>
      <c r="D5" s="25" t="s">
        <v>6</v>
      </c>
      <c r="E5" s="25" t="s">
        <v>7</v>
      </c>
      <c r="F5" s="25" t="s">
        <v>6</v>
      </c>
      <c r="G5" s="25" t="s">
        <v>96</v>
      </c>
      <c r="H5" s="25" t="s">
        <v>6</v>
      </c>
      <c r="I5" s="25" t="s">
        <v>7</v>
      </c>
      <c r="J5" s="25" t="s">
        <v>6</v>
      </c>
      <c r="K5" s="25" t="s">
        <v>96</v>
      </c>
      <c r="L5" s="25" t="s">
        <v>6</v>
      </c>
      <c r="M5" s="25" t="s">
        <v>7</v>
      </c>
      <c r="N5" s="25" t="s">
        <v>6</v>
      </c>
      <c r="O5" s="25" t="s">
        <v>96</v>
      </c>
      <c r="P5" s="25" t="s">
        <v>6</v>
      </c>
      <c r="Q5" s="25" t="s">
        <v>7</v>
      </c>
      <c r="R5" s="25" t="s">
        <v>6</v>
      </c>
      <c r="S5" s="25" t="s">
        <v>96</v>
      </c>
      <c r="T5" s="25" t="s">
        <v>6</v>
      </c>
      <c r="U5" s="25" t="s">
        <v>7</v>
      </c>
      <c r="V5" s="25" t="s">
        <v>6</v>
      </c>
      <c r="W5" s="25" t="s">
        <v>96</v>
      </c>
      <c r="X5" s="25" t="s">
        <v>6</v>
      </c>
      <c r="Y5" s="25" t="s">
        <v>7</v>
      </c>
      <c r="Z5" s="25" t="s">
        <v>6</v>
      </c>
      <c r="AA5" s="25" t="s">
        <v>96</v>
      </c>
      <c r="AB5" s="25" t="s">
        <v>6</v>
      </c>
      <c r="AC5" s="25" t="s">
        <v>7</v>
      </c>
      <c r="AD5" s="25" t="s">
        <v>6</v>
      </c>
      <c r="AE5" s="25" t="s">
        <v>96</v>
      </c>
      <c r="AF5" s="25" t="s">
        <v>6</v>
      </c>
      <c r="AG5" s="25" t="s">
        <v>7</v>
      </c>
      <c r="AH5" s="25" t="s">
        <v>6</v>
      </c>
      <c r="AI5" s="25" t="s">
        <v>96</v>
      </c>
      <c r="AJ5" s="25" t="s">
        <v>6</v>
      </c>
      <c r="AK5" s="25" t="s">
        <v>7</v>
      </c>
      <c r="AL5" s="25" t="s">
        <v>6</v>
      </c>
      <c r="AM5" s="25" t="s">
        <v>96</v>
      </c>
      <c r="AN5" s="25" t="s">
        <v>6</v>
      </c>
      <c r="AO5" s="25" t="s">
        <v>7</v>
      </c>
      <c r="AP5" s="25" t="s">
        <v>6</v>
      </c>
      <c r="AQ5" s="25" t="s">
        <v>96</v>
      </c>
      <c r="AR5" s="25" t="s">
        <v>6</v>
      </c>
      <c r="AS5" s="25" t="s">
        <v>7</v>
      </c>
      <c r="AT5" s="25" t="s">
        <v>6</v>
      </c>
      <c r="AU5" s="25" t="s">
        <v>96</v>
      </c>
      <c r="AV5" s="1118"/>
      <c r="AW5" s="1118"/>
      <c r="AX5" s="1118"/>
      <c r="AY5" s="1120"/>
      <c r="AZ5" s="1159"/>
    </row>
    <row r="6" spans="1:52" s="301" customFormat="1" ht="52.5" customHeight="1">
      <c r="A6" s="791" t="s">
        <v>211</v>
      </c>
      <c r="B6" s="406" t="s">
        <v>11</v>
      </c>
      <c r="C6" s="150" t="s">
        <v>93</v>
      </c>
      <c r="D6" s="150"/>
      <c r="E6" s="150"/>
      <c r="F6" s="150"/>
      <c r="G6" s="150"/>
      <c r="H6" s="91">
        <v>30</v>
      </c>
      <c r="I6" s="91">
        <v>0</v>
      </c>
      <c r="J6" s="91">
        <v>30</v>
      </c>
      <c r="K6" s="129">
        <v>2.8</v>
      </c>
      <c r="L6" s="792">
        <v>50</v>
      </c>
      <c r="M6" s="792">
        <v>18</v>
      </c>
      <c r="N6" s="792">
        <v>90</v>
      </c>
      <c r="O6" s="792">
        <v>1.8</v>
      </c>
      <c r="P6" s="91">
        <v>21</v>
      </c>
      <c r="Q6" s="2">
        <v>70</v>
      </c>
      <c r="R6" s="150"/>
      <c r="S6" s="150"/>
      <c r="T6" s="643">
        <v>0</v>
      </c>
      <c r="U6" s="643">
        <v>0</v>
      </c>
      <c r="V6" s="643">
        <v>25</v>
      </c>
      <c r="W6" s="645">
        <v>3.56</v>
      </c>
      <c r="X6" s="150"/>
      <c r="Y6" s="150"/>
      <c r="Z6" s="759">
        <v>30</v>
      </c>
      <c r="AA6" s="759">
        <v>1.21</v>
      </c>
      <c r="AB6" s="759"/>
      <c r="AC6" s="759"/>
      <c r="AD6" s="759"/>
      <c r="AE6" s="759"/>
      <c r="AF6" s="91">
        <f>1*20+2*33</f>
        <v>86</v>
      </c>
      <c r="AG6" s="91">
        <v>0</v>
      </c>
      <c r="AH6" s="2"/>
      <c r="AI6" s="759"/>
      <c r="AJ6" s="91">
        <v>60</v>
      </c>
      <c r="AK6" s="68">
        <v>24</v>
      </c>
      <c r="AL6" s="68">
        <v>0</v>
      </c>
      <c r="AM6" s="145">
        <v>0</v>
      </c>
      <c r="AN6" s="759"/>
      <c r="AO6" s="759"/>
      <c r="AP6" s="759"/>
      <c r="AQ6" s="759"/>
      <c r="AR6" s="420"/>
      <c r="AS6" s="420"/>
      <c r="AT6" s="55">
        <v>60</v>
      </c>
      <c r="AU6" s="55">
        <v>3.97</v>
      </c>
      <c r="AV6" s="150" t="s">
        <v>12</v>
      </c>
      <c r="AW6" s="150">
        <v>30</v>
      </c>
      <c r="AX6" s="150" t="s">
        <v>298</v>
      </c>
      <c r="AY6" s="150" t="s">
        <v>306</v>
      </c>
      <c r="AZ6" s="161" t="s">
        <v>299</v>
      </c>
    </row>
    <row r="7" spans="1:52" s="301" customFormat="1" ht="32.25" customHeight="1">
      <c r="A7" s="793" t="s">
        <v>210</v>
      </c>
      <c r="B7" s="151" t="s">
        <v>8</v>
      </c>
      <c r="C7" s="145" t="s">
        <v>97</v>
      </c>
      <c r="D7" s="68">
        <v>360</v>
      </c>
      <c r="E7" s="68">
        <v>0</v>
      </c>
      <c r="F7" s="68">
        <v>360</v>
      </c>
      <c r="G7" s="68">
        <v>20.28</v>
      </c>
      <c r="H7" s="91">
        <v>30</v>
      </c>
      <c r="I7" s="91">
        <v>0</v>
      </c>
      <c r="J7" s="91">
        <v>30</v>
      </c>
      <c r="K7" s="129">
        <v>2.8</v>
      </c>
      <c r="L7" s="91">
        <v>700</v>
      </c>
      <c r="M7" s="91">
        <v>112</v>
      </c>
      <c r="N7" s="91">
        <v>300</v>
      </c>
      <c r="O7" s="91">
        <v>4.5</v>
      </c>
      <c r="P7" s="145">
        <v>585</v>
      </c>
      <c r="Q7" s="145">
        <v>422</v>
      </c>
      <c r="R7" s="145"/>
      <c r="S7" s="145"/>
      <c r="T7" s="145"/>
      <c r="U7" s="145"/>
      <c r="V7" s="145"/>
      <c r="W7" s="145"/>
      <c r="X7" s="131">
        <v>420</v>
      </c>
      <c r="Y7" s="131">
        <v>138</v>
      </c>
      <c r="Z7" s="131">
        <v>150</v>
      </c>
      <c r="AA7" s="131">
        <v>4.37</v>
      </c>
      <c r="AB7" s="55">
        <v>570</v>
      </c>
      <c r="AC7" s="145">
        <v>40</v>
      </c>
      <c r="AD7" s="55">
        <v>257</v>
      </c>
      <c r="AE7" s="55">
        <v>4.95</v>
      </c>
      <c r="AF7" s="91">
        <f>7*30</f>
        <v>210</v>
      </c>
      <c r="AG7" s="91">
        <v>0</v>
      </c>
      <c r="AH7" s="2">
        <v>210</v>
      </c>
      <c r="AI7" s="131"/>
      <c r="AJ7" s="68">
        <v>690</v>
      </c>
      <c r="AK7" s="68">
        <v>407</v>
      </c>
      <c r="AL7" s="68">
        <v>1260</v>
      </c>
      <c r="AM7" s="145">
        <v>34.67</v>
      </c>
      <c r="AN7" s="68">
        <v>300</v>
      </c>
      <c r="AO7" s="68"/>
      <c r="AP7" s="68">
        <v>90</v>
      </c>
      <c r="AQ7" s="68">
        <v>3.72</v>
      </c>
      <c r="AR7" s="55">
        <v>1000</v>
      </c>
      <c r="AS7" s="55">
        <v>0</v>
      </c>
      <c r="AT7" s="55">
        <v>510</v>
      </c>
      <c r="AU7" s="55">
        <v>29.44</v>
      </c>
      <c r="AV7" s="145" t="s">
        <v>9</v>
      </c>
      <c r="AW7" s="145">
        <v>30</v>
      </c>
      <c r="AX7" s="145" t="s">
        <v>10</v>
      </c>
      <c r="AY7" s="145" t="s">
        <v>306</v>
      </c>
      <c r="AZ7" s="261" t="s">
        <v>300</v>
      </c>
    </row>
    <row r="8" spans="1:52" s="301" customFormat="1" ht="45">
      <c r="A8" s="793" t="s">
        <v>212</v>
      </c>
      <c r="B8" s="34" t="s">
        <v>8</v>
      </c>
      <c r="C8" s="145" t="s">
        <v>39</v>
      </c>
      <c r="D8" s="145">
        <v>2100</v>
      </c>
      <c r="E8" s="68">
        <v>309</v>
      </c>
      <c r="F8" s="145">
        <v>1500</v>
      </c>
      <c r="G8" s="68">
        <v>67.5</v>
      </c>
      <c r="H8" s="91">
        <v>30</v>
      </c>
      <c r="I8" s="91">
        <v>0</v>
      </c>
      <c r="J8" s="91">
        <f>15*5</f>
        <v>75</v>
      </c>
      <c r="K8" s="129">
        <v>2.5</v>
      </c>
      <c r="L8" s="792">
        <v>2500</v>
      </c>
      <c r="M8" s="792">
        <v>1937</v>
      </c>
      <c r="N8" s="792">
        <v>1050</v>
      </c>
      <c r="O8" s="792">
        <v>14</v>
      </c>
      <c r="P8" s="91">
        <v>1050</v>
      </c>
      <c r="Q8" s="91">
        <v>1856</v>
      </c>
      <c r="R8" s="145"/>
      <c r="S8" s="145"/>
      <c r="T8" s="145"/>
      <c r="U8" s="145"/>
      <c r="V8" s="145"/>
      <c r="W8" s="145"/>
      <c r="X8" s="145">
        <v>11</v>
      </c>
      <c r="Y8" s="145"/>
      <c r="Z8" s="68">
        <v>120</v>
      </c>
      <c r="AA8" s="68">
        <v>2.36</v>
      </c>
      <c r="AB8" s="55">
        <v>3070</v>
      </c>
      <c r="AC8" s="145">
        <v>127</v>
      </c>
      <c r="AD8" s="55">
        <v>450</v>
      </c>
      <c r="AE8" s="55">
        <v>7.35</v>
      </c>
      <c r="AF8" s="91">
        <f>25*30</f>
        <v>750</v>
      </c>
      <c r="AG8" s="91">
        <v>0</v>
      </c>
      <c r="AH8" s="2">
        <v>750</v>
      </c>
      <c r="AI8" s="68"/>
      <c r="AJ8" s="68">
        <v>1080</v>
      </c>
      <c r="AK8" s="68">
        <v>0</v>
      </c>
      <c r="AL8" s="68">
        <v>900</v>
      </c>
      <c r="AM8" s="145">
        <v>27.53</v>
      </c>
      <c r="AN8" s="145">
        <v>450</v>
      </c>
      <c r="AO8" s="68">
        <v>150</v>
      </c>
      <c r="AP8" s="145">
        <v>300</v>
      </c>
      <c r="AQ8" s="68">
        <v>11.33</v>
      </c>
      <c r="AR8" s="55">
        <v>6210</v>
      </c>
      <c r="AS8" s="55">
        <v>0</v>
      </c>
      <c r="AT8" s="55">
        <v>1860</v>
      </c>
      <c r="AU8" s="55">
        <v>53.28</v>
      </c>
      <c r="AV8" s="145" t="s">
        <v>15</v>
      </c>
      <c r="AW8" s="145">
        <v>30</v>
      </c>
      <c r="AX8" s="145" t="s">
        <v>16</v>
      </c>
      <c r="AY8" s="145" t="s">
        <v>306</v>
      </c>
      <c r="AZ8" s="161" t="s">
        <v>299</v>
      </c>
    </row>
    <row r="9" spans="1:52" s="301" customFormat="1" ht="15.75">
      <c r="A9" s="793" t="s">
        <v>1225</v>
      </c>
      <c r="B9" s="34" t="s">
        <v>8</v>
      </c>
      <c r="C9" s="145" t="s">
        <v>1226</v>
      </c>
      <c r="D9" s="145"/>
      <c r="E9" s="145"/>
      <c r="F9" s="145"/>
      <c r="G9" s="145"/>
      <c r="H9" s="91">
        <v>60</v>
      </c>
      <c r="I9" s="91">
        <v>0</v>
      </c>
      <c r="J9" s="91">
        <v>30</v>
      </c>
      <c r="K9" s="91">
        <v>0.35</v>
      </c>
      <c r="L9" s="91"/>
      <c r="M9" s="91"/>
      <c r="N9" s="91"/>
      <c r="O9" s="91"/>
      <c r="P9" s="91"/>
      <c r="Q9" s="91"/>
      <c r="R9" s="145"/>
      <c r="S9" s="145"/>
      <c r="T9" s="145"/>
      <c r="U9" s="145"/>
      <c r="V9" s="145"/>
      <c r="W9" s="145"/>
      <c r="X9" s="145"/>
      <c r="Y9" s="145"/>
      <c r="Z9" s="68"/>
      <c r="AA9" s="68"/>
      <c r="AB9" s="55"/>
      <c r="AC9" s="145"/>
      <c r="AD9" s="55">
        <v>450</v>
      </c>
      <c r="AE9" s="55">
        <v>7.35</v>
      </c>
      <c r="AF9" s="91"/>
      <c r="AG9" s="91"/>
      <c r="AH9" s="2"/>
      <c r="AI9" s="68"/>
      <c r="AJ9" s="68"/>
      <c r="AK9" s="68"/>
      <c r="AL9" s="68"/>
      <c r="AM9" s="68"/>
      <c r="AN9" s="68"/>
      <c r="AO9" s="68"/>
      <c r="AP9" s="68"/>
      <c r="AQ9" s="68"/>
      <c r="AR9" s="55"/>
      <c r="AS9" s="55"/>
      <c r="AT9" s="55"/>
      <c r="AU9" s="55"/>
      <c r="AV9" s="145" t="s">
        <v>15</v>
      </c>
      <c r="AW9" s="145">
        <v>30</v>
      </c>
      <c r="AX9" s="145" t="s">
        <v>56</v>
      </c>
      <c r="AY9" s="145" t="s">
        <v>306</v>
      </c>
      <c r="AZ9" s="161"/>
    </row>
    <row r="10" spans="1:52" s="301" customFormat="1" ht="38.25" customHeight="1">
      <c r="A10" s="793" t="s">
        <v>214</v>
      </c>
      <c r="B10" s="34" t="s">
        <v>8</v>
      </c>
      <c r="C10" s="145" t="s">
        <v>213</v>
      </c>
      <c r="D10" s="68">
        <v>90</v>
      </c>
      <c r="E10" s="68"/>
      <c r="F10" s="68">
        <v>90</v>
      </c>
      <c r="G10" s="68">
        <v>6.78</v>
      </c>
      <c r="H10" s="91">
        <v>60</v>
      </c>
      <c r="I10" s="91">
        <v>0</v>
      </c>
      <c r="J10" s="794">
        <v>30</v>
      </c>
      <c r="K10" s="794">
        <v>0.43</v>
      </c>
      <c r="L10" s="792">
        <v>4</v>
      </c>
      <c r="M10" s="792">
        <v>0</v>
      </c>
      <c r="N10" s="792">
        <v>60</v>
      </c>
      <c r="O10" s="792">
        <v>0.8</v>
      </c>
      <c r="P10" s="91">
        <v>132</v>
      </c>
      <c r="Q10" s="91">
        <v>107</v>
      </c>
      <c r="R10" s="145"/>
      <c r="S10" s="145"/>
      <c r="T10" s="145"/>
      <c r="U10" s="145"/>
      <c r="V10" s="145"/>
      <c r="W10" s="145"/>
      <c r="X10" s="91">
        <v>16</v>
      </c>
      <c r="Y10" s="2">
        <v>57</v>
      </c>
      <c r="Z10" s="91">
        <v>30</v>
      </c>
      <c r="AA10" s="91">
        <v>0.42</v>
      </c>
      <c r="AB10" s="55">
        <v>120</v>
      </c>
      <c r="AC10" s="145"/>
      <c r="AD10" s="55">
        <v>144</v>
      </c>
      <c r="AE10" s="55">
        <v>2.45</v>
      </c>
      <c r="AF10" s="91">
        <f>4*30</f>
        <v>120</v>
      </c>
      <c r="AG10" s="91">
        <v>0</v>
      </c>
      <c r="AH10" s="2">
        <v>120</v>
      </c>
      <c r="AI10" s="91"/>
      <c r="AJ10" s="68">
        <v>480</v>
      </c>
      <c r="AK10" s="68">
        <v>164</v>
      </c>
      <c r="AL10" s="68">
        <v>120</v>
      </c>
      <c r="AM10" s="145">
        <v>4.18</v>
      </c>
      <c r="AN10" s="68">
        <v>52</v>
      </c>
      <c r="AO10" s="68"/>
      <c r="AP10" s="68">
        <v>30</v>
      </c>
      <c r="AQ10" s="68">
        <v>1.09</v>
      </c>
      <c r="AR10" s="55">
        <v>360</v>
      </c>
      <c r="AS10" s="145">
        <v>0</v>
      </c>
      <c r="AT10" s="55">
        <v>90</v>
      </c>
      <c r="AU10" s="145">
        <v>6.75</v>
      </c>
      <c r="AV10" s="145" t="s">
        <v>81</v>
      </c>
      <c r="AW10" s="145">
        <v>30</v>
      </c>
      <c r="AX10" s="145" t="s">
        <v>94</v>
      </c>
      <c r="AY10" s="145" t="s">
        <v>306</v>
      </c>
      <c r="AZ10" s="303" t="s">
        <v>328</v>
      </c>
    </row>
    <row r="11" spans="1:52" ht="15.75">
      <c r="A11" s="795"/>
      <c r="B11" s="151" t="s">
        <v>8</v>
      </c>
      <c r="C11" s="145" t="s">
        <v>209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32"/>
      <c r="AZ11" s="258"/>
    </row>
    <row r="12" spans="1:52" s="301" customFormat="1" ht="20.25" customHeight="1">
      <c r="A12" s="795"/>
      <c r="B12" s="151" t="s">
        <v>8</v>
      </c>
      <c r="C12" s="33" t="s">
        <v>218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145"/>
      <c r="AS12" s="145"/>
      <c r="AT12" s="145"/>
      <c r="AU12" s="145"/>
      <c r="AV12" s="145"/>
      <c r="AW12" s="145"/>
      <c r="AX12" s="145"/>
      <c r="AY12" s="32"/>
      <c r="AZ12" s="258"/>
    </row>
    <row r="13" spans="1:52" s="311" customFormat="1" ht="15.75">
      <c r="A13" s="163"/>
      <c r="B13" s="1273" t="s">
        <v>14</v>
      </c>
      <c r="C13" s="1273"/>
      <c r="D13" s="163">
        <f>SUM(D6:D12)</f>
        <v>2550</v>
      </c>
      <c r="E13" s="163">
        <f aca="true" t="shared" si="0" ref="E13:AU13">SUM(E6:E12)</f>
        <v>309</v>
      </c>
      <c r="F13" s="163">
        <f t="shared" si="0"/>
        <v>1950</v>
      </c>
      <c r="G13" s="163">
        <f t="shared" si="0"/>
        <v>94.56</v>
      </c>
      <c r="H13" s="163">
        <f t="shared" si="0"/>
        <v>210</v>
      </c>
      <c r="I13" s="163">
        <f t="shared" si="0"/>
        <v>0</v>
      </c>
      <c r="J13" s="163">
        <f t="shared" si="0"/>
        <v>195</v>
      </c>
      <c r="K13" s="163">
        <f t="shared" si="0"/>
        <v>8.879999999999999</v>
      </c>
      <c r="L13" s="163">
        <f t="shared" si="0"/>
        <v>3254</v>
      </c>
      <c r="M13" s="163">
        <f t="shared" si="0"/>
        <v>2067</v>
      </c>
      <c r="N13" s="163">
        <f t="shared" si="0"/>
        <v>1500</v>
      </c>
      <c r="O13" s="163">
        <f t="shared" si="0"/>
        <v>21.1</v>
      </c>
      <c r="P13" s="163">
        <f t="shared" si="0"/>
        <v>1788</v>
      </c>
      <c r="Q13" s="163">
        <f t="shared" si="0"/>
        <v>2455</v>
      </c>
      <c r="R13" s="163">
        <f t="shared" si="0"/>
        <v>0</v>
      </c>
      <c r="S13" s="163">
        <f t="shared" si="0"/>
        <v>0</v>
      </c>
      <c r="T13" s="163">
        <f t="shared" si="0"/>
        <v>0</v>
      </c>
      <c r="U13" s="163">
        <f t="shared" si="0"/>
        <v>0</v>
      </c>
      <c r="V13" s="163">
        <f t="shared" si="0"/>
        <v>25</v>
      </c>
      <c r="W13" s="163">
        <f t="shared" si="0"/>
        <v>3.56</v>
      </c>
      <c r="X13" s="163">
        <f t="shared" si="0"/>
        <v>447</v>
      </c>
      <c r="Y13" s="163">
        <f t="shared" si="0"/>
        <v>195</v>
      </c>
      <c r="Z13" s="163">
        <f t="shared" si="0"/>
        <v>330</v>
      </c>
      <c r="AA13" s="163">
        <f t="shared" si="0"/>
        <v>8.36</v>
      </c>
      <c r="AB13" s="163">
        <f t="shared" si="0"/>
        <v>3760</v>
      </c>
      <c r="AC13" s="163">
        <f t="shared" si="0"/>
        <v>167</v>
      </c>
      <c r="AD13" s="163">
        <f t="shared" si="0"/>
        <v>1301</v>
      </c>
      <c r="AE13" s="163">
        <f t="shared" si="0"/>
        <v>22.099999999999998</v>
      </c>
      <c r="AF13" s="163">
        <f t="shared" si="0"/>
        <v>1166</v>
      </c>
      <c r="AG13" s="163">
        <f t="shared" si="0"/>
        <v>0</v>
      </c>
      <c r="AH13" s="163">
        <f t="shared" si="0"/>
        <v>1080</v>
      </c>
      <c r="AI13" s="163">
        <f t="shared" si="0"/>
        <v>0</v>
      </c>
      <c r="AJ13" s="163">
        <f t="shared" si="0"/>
        <v>2310</v>
      </c>
      <c r="AK13" s="163">
        <f t="shared" si="0"/>
        <v>595</v>
      </c>
      <c r="AL13" s="163">
        <f t="shared" si="0"/>
        <v>2280</v>
      </c>
      <c r="AM13" s="163">
        <f t="shared" si="0"/>
        <v>66.38</v>
      </c>
      <c r="AN13" s="163">
        <f t="shared" si="0"/>
        <v>802</v>
      </c>
      <c r="AO13" s="163">
        <f t="shared" si="0"/>
        <v>150</v>
      </c>
      <c r="AP13" s="163">
        <f t="shared" si="0"/>
        <v>420</v>
      </c>
      <c r="AQ13" s="163">
        <f t="shared" si="0"/>
        <v>16.14</v>
      </c>
      <c r="AR13" s="163">
        <f t="shared" si="0"/>
        <v>7570</v>
      </c>
      <c r="AS13" s="163">
        <f t="shared" si="0"/>
        <v>0</v>
      </c>
      <c r="AT13" s="163">
        <f t="shared" si="0"/>
        <v>2520</v>
      </c>
      <c r="AU13" s="163">
        <f t="shared" si="0"/>
        <v>93.44</v>
      </c>
      <c r="AV13" s="163"/>
      <c r="AW13" s="163"/>
      <c r="AX13" s="163"/>
      <c r="AY13" s="163"/>
      <c r="AZ13" s="243"/>
    </row>
    <row r="14" spans="1:52" s="237" customFormat="1" ht="15.75">
      <c r="A14" s="793" t="s">
        <v>216</v>
      </c>
      <c r="B14" s="151" t="s">
        <v>215</v>
      </c>
      <c r="C14" s="33" t="s">
        <v>331</v>
      </c>
      <c r="D14" s="68">
        <v>180</v>
      </c>
      <c r="E14" s="68"/>
      <c r="F14" s="68">
        <v>320</v>
      </c>
      <c r="G14" s="68">
        <v>8</v>
      </c>
      <c r="H14" s="176">
        <v>30</v>
      </c>
      <c r="I14" s="176">
        <v>0</v>
      </c>
      <c r="J14" s="796">
        <v>0</v>
      </c>
      <c r="K14" s="79">
        <v>0</v>
      </c>
      <c r="L14" s="797">
        <v>30</v>
      </c>
      <c r="M14" s="792">
        <v>0</v>
      </c>
      <c r="N14" s="792">
        <v>400</v>
      </c>
      <c r="O14" s="792">
        <v>1.1</v>
      </c>
      <c r="P14" s="33"/>
      <c r="Q14" s="33"/>
      <c r="R14" s="33"/>
      <c r="S14" s="33"/>
      <c r="T14" s="33"/>
      <c r="U14" s="33"/>
      <c r="V14" s="33"/>
      <c r="W14" s="33"/>
      <c r="X14" s="68"/>
      <c r="Y14" s="67"/>
      <c r="Z14" s="68">
        <v>90</v>
      </c>
      <c r="AA14" s="68">
        <v>1.89</v>
      </c>
      <c r="AB14" s="131">
        <v>1032</v>
      </c>
      <c r="AC14" s="2">
        <v>0</v>
      </c>
      <c r="AD14" s="131"/>
      <c r="AE14" s="68"/>
      <c r="AF14" s="91">
        <f>3*40</f>
        <v>120</v>
      </c>
      <c r="AG14" s="91">
        <v>0</v>
      </c>
      <c r="AH14" s="68"/>
      <c r="AI14" s="68"/>
      <c r="AJ14" s="68"/>
      <c r="AK14" s="68"/>
      <c r="AL14" s="68"/>
      <c r="AM14" s="68"/>
      <c r="AN14" s="68">
        <v>180</v>
      </c>
      <c r="AO14" s="68"/>
      <c r="AP14" s="68">
        <v>320</v>
      </c>
      <c r="AQ14" s="68">
        <v>8</v>
      </c>
      <c r="AR14" s="55">
        <v>1320</v>
      </c>
      <c r="AS14" s="145">
        <v>0</v>
      </c>
      <c r="AT14" s="55" t="s">
        <v>610</v>
      </c>
      <c r="AU14" s="55" t="s">
        <v>610</v>
      </c>
      <c r="AV14" s="33" t="s">
        <v>333</v>
      </c>
      <c r="AW14" s="145">
        <v>25</v>
      </c>
      <c r="AX14" s="145" t="s">
        <v>10</v>
      </c>
      <c r="AY14" s="33"/>
      <c r="AZ14" s="120" t="s">
        <v>329</v>
      </c>
    </row>
    <row r="15" spans="1:52" s="237" customFormat="1" ht="15.75">
      <c r="A15" s="793" t="s">
        <v>217</v>
      </c>
      <c r="B15" s="151" t="s">
        <v>215</v>
      </c>
      <c r="C15" s="33" t="s">
        <v>332</v>
      </c>
      <c r="D15" s="68">
        <v>12000</v>
      </c>
      <c r="E15" s="68"/>
      <c r="F15" s="68">
        <v>7840</v>
      </c>
      <c r="G15" s="68">
        <v>98</v>
      </c>
      <c r="H15" s="798">
        <v>25</v>
      </c>
      <c r="I15" s="646">
        <v>0</v>
      </c>
      <c r="J15" s="794">
        <v>400</v>
      </c>
      <c r="K15" s="794">
        <v>1.25</v>
      </c>
      <c r="L15" s="792">
        <v>660</v>
      </c>
      <c r="M15" s="792">
        <v>0</v>
      </c>
      <c r="N15" s="792">
        <v>8000</v>
      </c>
      <c r="O15" s="792">
        <v>18</v>
      </c>
      <c r="P15" s="33"/>
      <c r="Q15" s="33"/>
      <c r="R15" s="33"/>
      <c r="S15" s="33"/>
      <c r="T15" s="33"/>
      <c r="U15" s="33"/>
      <c r="V15" s="33"/>
      <c r="W15" s="33"/>
      <c r="X15" s="68"/>
      <c r="Y15" s="67"/>
      <c r="Z15" s="68">
        <v>2120</v>
      </c>
      <c r="AA15" s="68">
        <v>55.46</v>
      </c>
      <c r="AB15" s="131">
        <v>55916</v>
      </c>
      <c r="AC15" s="131">
        <v>0</v>
      </c>
      <c r="AD15" s="131">
        <v>11600</v>
      </c>
      <c r="AE15" s="131">
        <v>208.8</v>
      </c>
      <c r="AF15" s="91">
        <f>413*40</f>
        <v>16520</v>
      </c>
      <c r="AG15" s="91">
        <v>0</v>
      </c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55">
        <v>56630</v>
      </c>
      <c r="AS15" s="145">
        <v>0</v>
      </c>
      <c r="AT15" s="55">
        <v>56630</v>
      </c>
      <c r="AU15" s="55">
        <v>465.84</v>
      </c>
      <c r="AV15" s="33" t="s">
        <v>81</v>
      </c>
      <c r="AW15" s="145">
        <v>40</v>
      </c>
      <c r="AX15" s="33" t="s">
        <v>16</v>
      </c>
      <c r="AY15" s="33"/>
      <c r="AZ15" s="120" t="s">
        <v>330</v>
      </c>
    </row>
    <row r="16" spans="1:52" s="311" customFormat="1" ht="15.75">
      <c r="A16" s="163"/>
      <c r="B16" s="1273" t="s">
        <v>14</v>
      </c>
      <c r="C16" s="1273"/>
      <c r="D16" s="163">
        <f>SUM(D14:D15)</f>
        <v>12180</v>
      </c>
      <c r="E16" s="163">
        <f aca="true" t="shared" si="1" ref="E16:AU16">SUM(E14:E15)</f>
        <v>0</v>
      </c>
      <c r="F16" s="163">
        <f t="shared" si="1"/>
        <v>8160</v>
      </c>
      <c r="G16" s="163">
        <f t="shared" si="1"/>
        <v>106</v>
      </c>
      <c r="H16" s="163">
        <f t="shared" si="1"/>
        <v>55</v>
      </c>
      <c r="I16" s="163">
        <f t="shared" si="1"/>
        <v>0</v>
      </c>
      <c r="J16" s="163">
        <f t="shared" si="1"/>
        <v>400</v>
      </c>
      <c r="K16" s="163">
        <f t="shared" si="1"/>
        <v>1.25</v>
      </c>
      <c r="L16" s="163">
        <f t="shared" si="1"/>
        <v>690</v>
      </c>
      <c r="M16" s="163">
        <f t="shared" si="1"/>
        <v>0</v>
      </c>
      <c r="N16" s="163">
        <f t="shared" si="1"/>
        <v>8400</v>
      </c>
      <c r="O16" s="163">
        <f t="shared" si="1"/>
        <v>19.1</v>
      </c>
      <c r="P16" s="163">
        <f t="shared" si="1"/>
        <v>0</v>
      </c>
      <c r="Q16" s="163">
        <f t="shared" si="1"/>
        <v>0</v>
      </c>
      <c r="R16" s="163">
        <f t="shared" si="1"/>
        <v>0</v>
      </c>
      <c r="S16" s="163">
        <f t="shared" si="1"/>
        <v>0</v>
      </c>
      <c r="T16" s="163">
        <f t="shared" si="1"/>
        <v>0</v>
      </c>
      <c r="U16" s="163">
        <f t="shared" si="1"/>
        <v>0</v>
      </c>
      <c r="V16" s="163">
        <f t="shared" si="1"/>
        <v>0</v>
      </c>
      <c r="W16" s="163">
        <f t="shared" si="1"/>
        <v>0</v>
      </c>
      <c r="X16" s="163">
        <f t="shared" si="1"/>
        <v>0</v>
      </c>
      <c r="Y16" s="163">
        <f t="shared" si="1"/>
        <v>0</v>
      </c>
      <c r="Z16" s="163">
        <f t="shared" si="1"/>
        <v>2210</v>
      </c>
      <c r="AA16" s="163">
        <f t="shared" si="1"/>
        <v>57.35</v>
      </c>
      <c r="AB16" s="163">
        <f t="shared" si="1"/>
        <v>56948</v>
      </c>
      <c r="AC16" s="163">
        <f t="shared" si="1"/>
        <v>0</v>
      </c>
      <c r="AD16" s="163">
        <f t="shared" si="1"/>
        <v>11600</v>
      </c>
      <c r="AE16" s="163">
        <f t="shared" si="1"/>
        <v>208.8</v>
      </c>
      <c r="AF16" s="163">
        <f t="shared" si="1"/>
        <v>16640</v>
      </c>
      <c r="AG16" s="163">
        <f t="shared" si="1"/>
        <v>0</v>
      </c>
      <c r="AH16" s="163">
        <f t="shared" si="1"/>
        <v>0</v>
      </c>
      <c r="AI16" s="163">
        <f t="shared" si="1"/>
        <v>0</v>
      </c>
      <c r="AJ16" s="163">
        <f t="shared" si="1"/>
        <v>0</v>
      </c>
      <c r="AK16" s="163">
        <f t="shared" si="1"/>
        <v>0</v>
      </c>
      <c r="AL16" s="163">
        <f t="shared" si="1"/>
        <v>0</v>
      </c>
      <c r="AM16" s="163">
        <f t="shared" si="1"/>
        <v>0</v>
      </c>
      <c r="AN16" s="163">
        <f t="shared" si="1"/>
        <v>180</v>
      </c>
      <c r="AO16" s="163">
        <f t="shared" si="1"/>
        <v>0</v>
      </c>
      <c r="AP16" s="163">
        <f t="shared" si="1"/>
        <v>320</v>
      </c>
      <c r="AQ16" s="163">
        <f t="shared" si="1"/>
        <v>8</v>
      </c>
      <c r="AR16" s="163">
        <f t="shared" si="1"/>
        <v>57950</v>
      </c>
      <c r="AS16" s="163">
        <f t="shared" si="1"/>
        <v>0</v>
      </c>
      <c r="AT16" s="163">
        <f t="shared" si="1"/>
        <v>56630</v>
      </c>
      <c r="AU16" s="163">
        <f t="shared" si="1"/>
        <v>465.84</v>
      </c>
      <c r="AV16" s="163"/>
      <c r="AW16" s="163"/>
      <c r="AX16" s="163"/>
      <c r="AY16" s="163"/>
      <c r="AZ16" s="243"/>
    </row>
    <row r="17" spans="1:52" s="237" customFormat="1" ht="31.5">
      <c r="A17" s="92" t="s">
        <v>925</v>
      </c>
      <c r="B17" s="92" t="s">
        <v>1227</v>
      </c>
      <c r="C17" s="91" t="s">
        <v>486</v>
      </c>
      <c r="D17" s="91"/>
      <c r="E17" s="91"/>
      <c r="F17" s="91"/>
      <c r="G17" s="91"/>
      <c r="H17" s="2">
        <v>1</v>
      </c>
      <c r="I17" s="91">
        <v>0</v>
      </c>
      <c r="J17" s="794">
        <v>30</v>
      </c>
      <c r="K17" s="794">
        <v>0.35</v>
      </c>
      <c r="L17" s="794"/>
      <c r="M17" s="794"/>
      <c r="N17" s="794"/>
      <c r="O17" s="794"/>
      <c r="P17" s="91"/>
      <c r="Q17" s="91"/>
      <c r="R17" s="91"/>
      <c r="S17" s="91"/>
      <c r="T17" s="91"/>
      <c r="U17" s="91"/>
      <c r="V17" s="91"/>
      <c r="W17" s="91"/>
      <c r="X17" s="91">
        <v>42</v>
      </c>
      <c r="Y17" s="2" t="s">
        <v>575</v>
      </c>
      <c r="Z17" s="91">
        <v>60</v>
      </c>
      <c r="AA17" s="91">
        <v>1</v>
      </c>
      <c r="AB17" s="145">
        <v>2</v>
      </c>
      <c r="AC17" s="55">
        <v>1</v>
      </c>
      <c r="AD17" s="91"/>
      <c r="AE17" s="91"/>
      <c r="AF17" s="91">
        <f>1*30</f>
        <v>30</v>
      </c>
      <c r="AG17" s="91">
        <v>0</v>
      </c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634"/>
      <c r="AS17" s="33"/>
      <c r="AT17" s="33"/>
      <c r="AU17" s="33"/>
      <c r="AV17" s="91" t="s">
        <v>35</v>
      </c>
      <c r="AW17" s="33"/>
      <c r="AX17" s="33"/>
      <c r="AY17" s="33"/>
      <c r="AZ17" s="120"/>
    </row>
    <row r="18" spans="1:52" s="237" customFormat="1" ht="45">
      <c r="A18" s="799" t="s">
        <v>652</v>
      </c>
      <c r="B18" s="103" t="s">
        <v>653</v>
      </c>
      <c r="C18" s="145" t="s">
        <v>654</v>
      </c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91">
        <v>50</v>
      </c>
      <c r="Y18" s="2" t="s">
        <v>575</v>
      </c>
      <c r="Z18" s="91">
        <v>5760</v>
      </c>
      <c r="AA18" s="91">
        <v>49.54</v>
      </c>
      <c r="AB18" s="145">
        <v>33</v>
      </c>
      <c r="AC18" s="55">
        <v>0</v>
      </c>
      <c r="AD18" s="91"/>
      <c r="AE18" s="91"/>
      <c r="AF18" s="91">
        <f>22*30</f>
        <v>660</v>
      </c>
      <c r="AG18" s="91">
        <v>0</v>
      </c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33"/>
      <c r="AS18" s="33"/>
      <c r="AT18" s="33"/>
      <c r="AU18" s="33"/>
      <c r="AV18" s="91" t="s">
        <v>15</v>
      </c>
      <c r="AW18" s="68">
        <v>50</v>
      </c>
      <c r="AX18" s="2" t="s">
        <v>655</v>
      </c>
      <c r="AY18" s="145" t="s">
        <v>306</v>
      </c>
      <c r="AZ18" s="121" t="s">
        <v>656</v>
      </c>
    </row>
    <row r="19" spans="1:52" s="237" customFormat="1" ht="30">
      <c r="A19" s="800" t="s">
        <v>581</v>
      </c>
      <c r="B19" s="103" t="s">
        <v>582</v>
      </c>
      <c r="C19" s="55" t="s">
        <v>583</v>
      </c>
      <c r="D19" s="55"/>
      <c r="E19" s="55"/>
      <c r="F19" s="55"/>
      <c r="G19" s="55"/>
      <c r="H19" s="2">
        <v>10</v>
      </c>
      <c r="I19" s="91">
        <v>0</v>
      </c>
      <c r="J19" s="794">
        <v>180</v>
      </c>
      <c r="K19" s="129">
        <v>1.5</v>
      </c>
      <c r="L19" s="792">
        <v>630</v>
      </c>
      <c r="M19" s="792">
        <v>18</v>
      </c>
      <c r="N19" s="792">
        <v>9960</v>
      </c>
      <c r="O19" s="792">
        <v>36.52</v>
      </c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145">
        <v>355</v>
      </c>
      <c r="AC19" s="55">
        <v>0</v>
      </c>
      <c r="AD19" s="55"/>
      <c r="AE19" s="55"/>
      <c r="AF19" s="91">
        <f>118*30</f>
        <v>3540</v>
      </c>
      <c r="AG19" s="91">
        <v>0</v>
      </c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145" t="s">
        <v>584</v>
      </c>
      <c r="AW19" s="68" t="s">
        <v>865</v>
      </c>
      <c r="AX19" s="145" t="s">
        <v>585</v>
      </c>
      <c r="AY19" s="145" t="s">
        <v>306</v>
      </c>
      <c r="AZ19" s="116" t="s">
        <v>586</v>
      </c>
    </row>
    <row r="20" spans="1:52" s="237" customFormat="1" ht="30">
      <c r="A20" s="1282" t="s">
        <v>1228</v>
      </c>
      <c r="B20" s="96" t="s">
        <v>1229</v>
      </c>
      <c r="C20" s="131" t="s">
        <v>1230</v>
      </c>
      <c r="D20" s="131"/>
      <c r="E20" s="131"/>
      <c r="F20" s="131"/>
      <c r="G20" s="131"/>
      <c r="H20" s="2">
        <v>1</v>
      </c>
      <c r="I20" s="91">
        <v>0</v>
      </c>
      <c r="J20" s="91">
        <v>0</v>
      </c>
      <c r="K20" s="129">
        <v>0</v>
      </c>
      <c r="L20" s="129"/>
      <c r="M20" s="129"/>
      <c r="N20" s="129"/>
      <c r="O20" s="129"/>
      <c r="P20" s="91"/>
      <c r="Q20" s="91"/>
      <c r="R20" s="91"/>
      <c r="S20" s="91"/>
      <c r="T20" s="91"/>
      <c r="U20" s="91"/>
      <c r="V20" s="91"/>
      <c r="W20" s="91"/>
      <c r="X20" s="91"/>
      <c r="Y20" s="2"/>
      <c r="Z20" s="91"/>
      <c r="AA20" s="91"/>
      <c r="AB20" s="131"/>
      <c r="AC20" s="131"/>
      <c r="AD20" s="131">
        <v>30</v>
      </c>
      <c r="AE20" s="131">
        <v>0.5</v>
      </c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634"/>
      <c r="AS20" s="33"/>
      <c r="AT20" s="33"/>
      <c r="AU20" s="33"/>
      <c r="AV20" s="145" t="s">
        <v>584</v>
      </c>
      <c r="AW20" s="131" t="s">
        <v>865</v>
      </c>
      <c r="AX20" s="131" t="s">
        <v>1231</v>
      </c>
      <c r="AY20" s="131" t="s">
        <v>306</v>
      </c>
      <c r="AZ20" s="801" t="s">
        <v>1232</v>
      </c>
    </row>
    <row r="21" spans="1:52" s="237" customFormat="1" ht="15.75">
      <c r="A21" s="1282"/>
      <c r="B21" s="96" t="s">
        <v>1233</v>
      </c>
      <c r="C21" s="131" t="s">
        <v>479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91"/>
      <c r="Q21" s="91"/>
      <c r="R21" s="91"/>
      <c r="S21" s="91"/>
      <c r="T21" s="91"/>
      <c r="U21" s="91"/>
      <c r="V21" s="91"/>
      <c r="W21" s="91"/>
      <c r="X21" s="91"/>
      <c r="Y21" s="2"/>
      <c r="Z21" s="91"/>
      <c r="AA21" s="91"/>
      <c r="AB21" s="131"/>
      <c r="AC21" s="131"/>
      <c r="AD21" s="131">
        <v>353</v>
      </c>
      <c r="AE21" s="131">
        <v>10.59</v>
      </c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634"/>
      <c r="AS21" s="33"/>
      <c r="AT21" s="33"/>
      <c r="AU21" s="33"/>
      <c r="AV21" s="145" t="s">
        <v>584</v>
      </c>
      <c r="AW21" s="131" t="s">
        <v>575</v>
      </c>
      <c r="AX21" s="131" t="s">
        <v>642</v>
      </c>
      <c r="AY21" s="131" t="s">
        <v>306</v>
      </c>
      <c r="AZ21" s="801" t="s">
        <v>1232</v>
      </c>
    </row>
    <row r="22" spans="1:52" s="237" customFormat="1" ht="31.5">
      <c r="A22" s="800" t="s">
        <v>901</v>
      </c>
      <c r="B22" s="92" t="s">
        <v>1234</v>
      </c>
      <c r="C22" s="91" t="s">
        <v>311</v>
      </c>
      <c r="D22" s="91"/>
      <c r="E22" s="91"/>
      <c r="F22" s="91"/>
      <c r="G22" s="91"/>
      <c r="H22" s="2">
        <v>10</v>
      </c>
      <c r="I22" s="91">
        <v>0</v>
      </c>
      <c r="J22" s="91">
        <v>0</v>
      </c>
      <c r="K22" s="129">
        <v>0</v>
      </c>
      <c r="L22" s="129"/>
      <c r="M22" s="129"/>
      <c r="N22" s="129"/>
      <c r="O22" s="129"/>
      <c r="P22" s="91"/>
      <c r="Q22" s="91"/>
      <c r="R22" s="91"/>
      <c r="S22" s="91"/>
      <c r="T22" s="91"/>
      <c r="U22" s="91"/>
      <c r="V22" s="91"/>
      <c r="W22" s="91"/>
      <c r="X22" s="91">
        <v>28</v>
      </c>
      <c r="Y22" s="2" t="s">
        <v>575</v>
      </c>
      <c r="Z22" s="91">
        <v>210</v>
      </c>
      <c r="AA22" s="91">
        <v>1.14</v>
      </c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145"/>
      <c r="AW22" s="68"/>
      <c r="AX22" s="2" t="s">
        <v>13</v>
      </c>
      <c r="AY22" s="91" t="s">
        <v>306</v>
      </c>
      <c r="AZ22" s="367" t="s">
        <v>1235</v>
      </c>
    </row>
    <row r="23" spans="1:52" s="237" customFormat="1" ht="31.5">
      <c r="A23" s="800" t="s">
        <v>1236</v>
      </c>
      <c r="B23" s="92" t="s">
        <v>1237</v>
      </c>
      <c r="C23" s="91" t="s">
        <v>610</v>
      </c>
      <c r="D23" s="91"/>
      <c r="E23" s="91"/>
      <c r="F23" s="91"/>
      <c r="G23" s="91"/>
      <c r="H23" s="2"/>
      <c r="I23" s="91"/>
      <c r="J23" s="91"/>
      <c r="K23" s="129"/>
      <c r="L23" s="792">
        <v>8</v>
      </c>
      <c r="M23" s="792">
        <v>0</v>
      </c>
      <c r="N23" s="792">
        <v>1500</v>
      </c>
      <c r="O23" s="792">
        <v>4.5</v>
      </c>
      <c r="P23" s="91"/>
      <c r="Q23" s="91"/>
      <c r="R23" s="91"/>
      <c r="S23" s="91"/>
      <c r="T23" s="91"/>
      <c r="U23" s="91"/>
      <c r="V23" s="91"/>
      <c r="W23" s="91"/>
      <c r="X23" s="91"/>
      <c r="Y23" s="2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145" t="s">
        <v>610</v>
      </c>
      <c r="AW23" s="68" t="s">
        <v>865</v>
      </c>
      <c r="AX23" s="2" t="s">
        <v>1238</v>
      </c>
      <c r="AY23" s="91" t="s">
        <v>306</v>
      </c>
      <c r="AZ23" s="367" t="s">
        <v>610</v>
      </c>
    </row>
    <row r="24" spans="1:52" s="237" customFormat="1" ht="15.75">
      <c r="A24" s="802"/>
      <c r="B24" s="201" t="s">
        <v>1239</v>
      </c>
      <c r="C24" s="55" t="s">
        <v>1240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>
        <v>4000</v>
      </c>
      <c r="AS24" s="145">
        <v>0</v>
      </c>
      <c r="AT24" s="91"/>
      <c r="AU24" s="91"/>
      <c r="AV24" s="91"/>
      <c r="AW24" s="91"/>
      <c r="AX24" s="91"/>
      <c r="AY24" s="91"/>
      <c r="AZ24" s="367"/>
    </row>
    <row r="25" spans="1:52" s="237" customFormat="1" ht="15.75">
      <c r="A25" s="802"/>
      <c r="B25" s="201" t="s">
        <v>1241</v>
      </c>
      <c r="C25" s="55" t="s">
        <v>1240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>
        <v>10</v>
      </c>
      <c r="AS25" s="145">
        <v>0</v>
      </c>
      <c r="AT25" s="91"/>
      <c r="AU25" s="91"/>
      <c r="AV25" s="91"/>
      <c r="AW25" s="91"/>
      <c r="AX25" s="91"/>
      <c r="AY25" s="91"/>
      <c r="AZ25" s="367"/>
    </row>
    <row r="26" spans="1:52" s="237" customFormat="1" ht="45">
      <c r="A26" s="802"/>
      <c r="B26" s="201" t="s">
        <v>1242</v>
      </c>
      <c r="C26" s="55" t="s">
        <v>1243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>
        <v>19</v>
      </c>
      <c r="AS26" s="145">
        <v>0</v>
      </c>
      <c r="AT26" s="91"/>
      <c r="AU26" s="91"/>
      <c r="AV26" s="91"/>
      <c r="AW26" s="91"/>
      <c r="AX26" s="91"/>
      <c r="AY26" s="91"/>
      <c r="AZ26" s="367"/>
    </row>
    <row r="27" spans="1:52" s="311" customFormat="1" ht="27" customHeight="1" thickBot="1">
      <c r="A27" s="803"/>
      <c r="B27" s="1283" t="s">
        <v>14</v>
      </c>
      <c r="C27" s="1283"/>
      <c r="D27" s="247">
        <f aca="true" t="shared" si="2" ref="D27:T27">SUM(D17:D26)</f>
        <v>0</v>
      </c>
      <c r="E27" s="247">
        <f t="shared" si="2"/>
        <v>0</v>
      </c>
      <c r="F27" s="247">
        <f t="shared" si="2"/>
        <v>0</v>
      </c>
      <c r="G27" s="247">
        <f t="shared" si="2"/>
        <v>0</v>
      </c>
      <c r="H27" s="247">
        <f t="shared" si="2"/>
        <v>22</v>
      </c>
      <c r="I27" s="247">
        <f t="shared" si="2"/>
        <v>0</v>
      </c>
      <c r="J27" s="247">
        <f t="shared" si="2"/>
        <v>210</v>
      </c>
      <c r="K27" s="247">
        <f t="shared" si="2"/>
        <v>1.85</v>
      </c>
      <c r="L27" s="247">
        <f t="shared" si="2"/>
        <v>638</v>
      </c>
      <c r="M27" s="247">
        <f t="shared" si="2"/>
        <v>18</v>
      </c>
      <c r="N27" s="247">
        <f t="shared" si="2"/>
        <v>11460</v>
      </c>
      <c r="O27" s="247">
        <f t="shared" si="2"/>
        <v>41.02</v>
      </c>
      <c r="P27" s="247">
        <f t="shared" si="2"/>
        <v>0</v>
      </c>
      <c r="Q27" s="247">
        <f t="shared" si="2"/>
        <v>0</v>
      </c>
      <c r="R27" s="247">
        <f t="shared" si="2"/>
        <v>0</v>
      </c>
      <c r="S27" s="247">
        <f t="shared" si="2"/>
        <v>0</v>
      </c>
      <c r="T27" s="247">
        <f t="shared" si="2"/>
        <v>0</v>
      </c>
      <c r="U27" s="247">
        <f>SUM(U17:U26)</f>
        <v>0</v>
      </c>
      <c r="V27" s="247">
        <f aca="true" t="shared" si="3" ref="V27:AU27">SUM(V17:V26)</f>
        <v>0</v>
      </c>
      <c r="W27" s="247">
        <f t="shared" si="3"/>
        <v>0</v>
      </c>
      <c r="X27" s="247">
        <f t="shared" si="3"/>
        <v>120</v>
      </c>
      <c r="Y27" s="247">
        <f t="shared" si="3"/>
        <v>0</v>
      </c>
      <c r="Z27" s="247">
        <f t="shared" si="3"/>
        <v>6030</v>
      </c>
      <c r="AA27" s="247">
        <f t="shared" si="3"/>
        <v>51.68</v>
      </c>
      <c r="AB27" s="247">
        <f t="shared" si="3"/>
        <v>390</v>
      </c>
      <c r="AC27" s="247">
        <f t="shared" si="3"/>
        <v>1</v>
      </c>
      <c r="AD27" s="247">
        <f t="shared" si="3"/>
        <v>383</v>
      </c>
      <c r="AE27" s="247">
        <f t="shared" si="3"/>
        <v>11.09</v>
      </c>
      <c r="AF27" s="247">
        <f t="shared" si="3"/>
        <v>4230</v>
      </c>
      <c r="AG27" s="247">
        <f t="shared" si="3"/>
        <v>0</v>
      </c>
      <c r="AH27" s="247">
        <f t="shared" si="3"/>
        <v>0</v>
      </c>
      <c r="AI27" s="247">
        <f t="shared" si="3"/>
        <v>0</v>
      </c>
      <c r="AJ27" s="247">
        <f t="shared" si="3"/>
        <v>0</v>
      </c>
      <c r="AK27" s="247">
        <f t="shared" si="3"/>
        <v>0</v>
      </c>
      <c r="AL27" s="247">
        <f t="shared" si="3"/>
        <v>0</v>
      </c>
      <c r="AM27" s="247">
        <f t="shared" si="3"/>
        <v>0</v>
      </c>
      <c r="AN27" s="247">
        <f t="shared" si="3"/>
        <v>0</v>
      </c>
      <c r="AO27" s="247">
        <f t="shared" si="3"/>
        <v>0</v>
      </c>
      <c r="AP27" s="247">
        <f t="shared" si="3"/>
        <v>0</v>
      </c>
      <c r="AQ27" s="247">
        <f t="shared" si="3"/>
        <v>0</v>
      </c>
      <c r="AR27" s="247">
        <f t="shared" si="3"/>
        <v>4029</v>
      </c>
      <c r="AS27" s="247">
        <f t="shared" si="3"/>
        <v>0</v>
      </c>
      <c r="AT27" s="247">
        <f t="shared" si="3"/>
        <v>0</v>
      </c>
      <c r="AU27" s="247">
        <f t="shared" si="3"/>
        <v>0</v>
      </c>
      <c r="AV27" s="247"/>
      <c r="AW27" s="247"/>
      <c r="AX27" s="247"/>
      <c r="AY27" s="247"/>
      <c r="AZ27" s="248"/>
    </row>
    <row r="28" spans="1:52" ht="32.25" customHeight="1" thickBot="1">
      <c r="A28" s="312"/>
      <c r="B28" s="1036" t="s">
        <v>17</v>
      </c>
      <c r="C28" s="1036"/>
      <c r="D28" s="270">
        <f>SUM(D13,D16,D27)</f>
        <v>14730</v>
      </c>
      <c r="E28" s="270">
        <f aca="true" t="shared" si="4" ref="E28:AU28">SUM(E13,E16,E27)</f>
        <v>309</v>
      </c>
      <c r="F28" s="270">
        <f t="shared" si="4"/>
        <v>10110</v>
      </c>
      <c r="G28" s="270">
        <f t="shared" si="4"/>
        <v>200.56</v>
      </c>
      <c r="H28" s="270">
        <f t="shared" si="4"/>
        <v>287</v>
      </c>
      <c r="I28" s="270">
        <f t="shared" si="4"/>
        <v>0</v>
      </c>
      <c r="J28" s="270">
        <f t="shared" si="4"/>
        <v>805</v>
      </c>
      <c r="K28" s="270">
        <f t="shared" si="4"/>
        <v>11.979999999999999</v>
      </c>
      <c r="L28" s="270">
        <f t="shared" si="4"/>
        <v>4582</v>
      </c>
      <c r="M28" s="270">
        <f t="shared" si="4"/>
        <v>2085</v>
      </c>
      <c r="N28" s="270">
        <f t="shared" si="4"/>
        <v>21360</v>
      </c>
      <c r="O28" s="270">
        <f t="shared" si="4"/>
        <v>81.22</v>
      </c>
      <c r="P28" s="270">
        <f t="shared" si="4"/>
        <v>1788</v>
      </c>
      <c r="Q28" s="270">
        <f t="shared" si="4"/>
        <v>2455</v>
      </c>
      <c r="R28" s="270">
        <f t="shared" si="4"/>
        <v>0</v>
      </c>
      <c r="S28" s="270">
        <f t="shared" si="4"/>
        <v>0</v>
      </c>
      <c r="T28" s="270">
        <f t="shared" si="4"/>
        <v>0</v>
      </c>
      <c r="U28" s="270">
        <f t="shared" si="4"/>
        <v>0</v>
      </c>
      <c r="V28" s="270">
        <f t="shared" si="4"/>
        <v>25</v>
      </c>
      <c r="W28" s="270">
        <f t="shared" si="4"/>
        <v>3.56</v>
      </c>
      <c r="X28" s="270">
        <f t="shared" si="4"/>
        <v>567</v>
      </c>
      <c r="Y28" s="270">
        <f t="shared" si="4"/>
        <v>195</v>
      </c>
      <c r="Z28" s="270">
        <f t="shared" si="4"/>
        <v>8570</v>
      </c>
      <c r="AA28" s="270">
        <f t="shared" si="4"/>
        <v>117.39000000000001</v>
      </c>
      <c r="AB28" s="270">
        <f t="shared" si="4"/>
        <v>61098</v>
      </c>
      <c r="AC28" s="270">
        <f t="shared" si="4"/>
        <v>168</v>
      </c>
      <c r="AD28" s="270">
        <f t="shared" si="4"/>
        <v>13284</v>
      </c>
      <c r="AE28" s="270">
        <f t="shared" si="4"/>
        <v>241.99</v>
      </c>
      <c r="AF28" s="270">
        <f t="shared" si="4"/>
        <v>22036</v>
      </c>
      <c r="AG28" s="270">
        <f t="shared" si="4"/>
        <v>0</v>
      </c>
      <c r="AH28" s="270">
        <f t="shared" si="4"/>
        <v>1080</v>
      </c>
      <c r="AI28" s="270">
        <f t="shared" si="4"/>
        <v>0</v>
      </c>
      <c r="AJ28" s="270">
        <f t="shared" si="4"/>
        <v>2310</v>
      </c>
      <c r="AK28" s="270">
        <f t="shared" si="4"/>
        <v>595</v>
      </c>
      <c r="AL28" s="270">
        <f t="shared" si="4"/>
        <v>2280</v>
      </c>
      <c r="AM28" s="270">
        <f t="shared" si="4"/>
        <v>66.38</v>
      </c>
      <c r="AN28" s="270">
        <f t="shared" si="4"/>
        <v>982</v>
      </c>
      <c r="AO28" s="270">
        <f t="shared" si="4"/>
        <v>150</v>
      </c>
      <c r="AP28" s="270">
        <f t="shared" si="4"/>
        <v>740</v>
      </c>
      <c r="AQ28" s="270">
        <f t="shared" si="4"/>
        <v>24.14</v>
      </c>
      <c r="AR28" s="270">
        <f t="shared" si="4"/>
        <v>69549</v>
      </c>
      <c r="AS28" s="270">
        <f t="shared" si="4"/>
        <v>0</v>
      </c>
      <c r="AT28" s="270">
        <f t="shared" si="4"/>
        <v>59150</v>
      </c>
      <c r="AU28" s="270">
        <f t="shared" si="4"/>
        <v>559.28</v>
      </c>
      <c r="AV28" s="270"/>
      <c r="AW28" s="270"/>
      <c r="AX28" s="270"/>
      <c r="AY28" s="270"/>
      <c r="AZ28" s="313"/>
    </row>
    <row r="29" ht="15.75">
      <c r="B29" s="19"/>
    </row>
  </sheetData>
  <sheetProtection/>
  <mergeCells count="50">
    <mergeCell ref="AZ4:AZ5"/>
    <mergeCell ref="B13:C13"/>
    <mergeCell ref="B16:C16"/>
    <mergeCell ref="A20:A21"/>
    <mergeCell ref="B27:C27"/>
    <mergeCell ref="B28:C28"/>
    <mergeCell ref="AR4:AS4"/>
    <mergeCell ref="AT4:AU4"/>
    <mergeCell ref="AV4:AV5"/>
    <mergeCell ref="AW4:AW5"/>
    <mergeCell ref="AX4:AX5"/>
    <mergeCell ref="AY4:AY5"/>
    <mergeCell ref="AF4:AG4"/>
    <mergeCell ref="AH4:AI4"/>
    <mergeCell ref="AJ4:AK4"/>
    <mergeCell ref="AL4:AM4"/>
    <mergeCell ref="AN4:AO4"/>
    <mergeCell ref="AP4:AQ4"/>
    <mergeCell ref="T4:U4"/>
    <mergeCell ref="V4:W4"/>
    <mergeCell ref="X4:Y4"/>
    <mergeCell ref="Z4:AA4"/>
    <mergeCell ref="AB4:AC4"/>
    <mergeCell ref="AD4:AE4"/>
    <mergeCell ref="H4:I4"/>
    <mergeCell ref="J4:K4"/>
    <mergeCell ref="L4:M4"/>
    <mergeCell ref="N4:O4"/>
    <mergeCell ref="P4:Q4"/>
    <mergeCell ref="R4:S4"/>
    <mergeCell ref="AF3:AI3"/>
    <mergeCell ref="AJ3:AM3"/>
    <mergeCell ref="AN3:AQ3"/>
    <mergeCell ref="AR3:AU3"/>
    <mergeCell ref="AV3:AY3"/>
    <mergeCell ref="A4:A5"/>
    <mergeCell ref="B4:B5"/>
    <mergeCell ref="C4:C5"/>
    <mergeCell ref="D4:E4"/>
    <mergeCell ref="F4:G4"/>
    <mergeCell ref="A1:AZ1"/>
    <mergeCell ref="A2:AZ2"/>
    <mergeCell ref="A3:C3"/>
    <mergeCell ref="D3:G3"/>
    <mergeCell ref="H3:K3"/>
    <mergeCell ref="L3:O3"/>
    <mergeCell ref="P3:S3"/>
    <mergeCell ref="T3:W3"/>
    <mergeCell ref="X3:AA3"/>
    <mergeCell ref="AB3:AE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25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5"/>
  <cols>
    <col min="1" max="1" width="13.00390625" style="598" customWidth="1"/>
    <col min="2" max="2" width="28.28125" style="598" customWidth="1"/>
    <col min="3" max="3" width="35.8515625" style="598" customWidth="1"/>
    <col min="4" max="31" width="7.7109375" style="598" customWidth="1"/>
    <col min="32" max="32" width="11.00390625" style="598" customWidth="1"/>
    <col min="33" max="33" width="21.421875" style="598" bestFit="1" customWidth="1"/>
    <col min="34" max="34" width="19.140625" style="598" customWidth="1"/>
    <col min="35" max="35" width="22.7109375" style="828" customWidth="1"/>
    <col min="36" max="36" width="30.7109375" style="828" customWidth="1"/>
    <col min="37" max="16384" width="9.140625" style="598" customWidth="1"/>
  </cols>
  <sheetData>
    <row r="1" spans="1:36" ht="27" customHeight="1" thickBot="1">
      <c r="A1" s="1181" t="s">
        <v>0</v>
      </c>
      <c r="B1" s="1284"/>
      <c r="C1" s="1284"/>
      <c r="D1" s="1284"/>
      <c r="E1" s="1284"/>
      <c r="F1" s="1284"/>
      <c r="G1" s="1284"/>
      <c r="H1" s="1284"/>
      <c r="I1" s="1284"/>
      <c r="J1" s="1284"/>
      <c r="K1" s="1284"/>
      <c r="L1" s="1284"/>
      <c r="M1" s="1284"/>
      <c r="N1" s="1284"/>
      <c r="O1" s="1284"/>
      <c r="P1" s="1284"/>
      <c r="Q1" s="1284"/>
      <c r="R1" s="1284"/>
      <c r="S1" s="1284"/>
      <c r="T1" s="1284"/>
      <c r="U1" s="1284"/>
      <c r="V1" s="1284"/>
      <c r="W1" s="1284"/>
      <c r="X1" s="1284"/>
      <c r="Y1" s="1284"/>
      <c r="Z1" s="1284"/>
      <c r="AA1" s="1284"/>
      <c r="AB1" s="1284"/>
      <c r="AC1" s="1284"/>
      <c r="AD1" s="1284"/>
      <c r="AE1" s="1284"/>
      <c r="AF1" s="1284"/>
      <c r="AG1" s="1284"/>
      <c r="AH1" s="1284"/>
      <c r="AI1" s="1284"/>
      <c r="AJ1" s="1285"/>
    </row>
    <row r="2" spans="1:36" s="826" customFormat="1" ht="30" customHeight="1" thickBot="1">
      <c r="A2" s="1243" t="s">
        <v>580</v>
      </c>
      <c r="B2" s="1244"/>
      <c r="C2" s="1244"/>
      <c r="D2" s="1244"/>
      <c r="E2" s="1244"/>
      <c r="F2" s="1244"/>
      <c r="G2" s="1244"/>
      <c r="H2" s="1244"/>
      <c r="I2" s="1244"/>
      <c r="J2" s="1244"/>
      <c r="K2" s="1244"/>
      <c r="L2" s="1244"/>
      <c r="M2" s="1244"/>
      <c r="N2" s="1244"/>
      <c r="O2" s="1244"/>
      <c r="P2" s="1244"/>
      <c r="Q2" s="1244"/>
      <c r="R2" s="1244"/>
      <c r="S2" s="1244"/>
      <c r="T2" s="1244"/>
      <c r="U2" s="1244"/>
      <c r="V2" s="1244"/>
      <c r="W2" s="1244"/>
      <c r="X2" s="1244"/>
      <c r="Y2" s="1244"/>
      <c r="Z2" s="1244"/>
      <c r="AA2" s="1244"/>
      <c r="AB2" s="1244"/>
      <c r="AC2" s="1244"/>
      <c r="AD2" s="1244"/>
      <c r="AE2" s="1244"/>
      <c r="AF2" s="1244"/>
      <c r="AG2" s="1244"/>
      <c r="AH2" s="1244"/>
      <c r="AI2" s="1244"/>
      <c r="AJ2" s="1258"/>
    </row>
    <row r="3" spans="1:36" s="826" customFormat="1" ht="16.5" thickBot="1">
      <c r="A3" s="1180"/>
      <c r="B3" s="1115"/>
      <c r="C3" s="1116"/>
      <c r="D3" s="1114" t="s">
        <v>1073</v>
      </c>
      <c r="E3" s="1115"/>
      <c r="F3" s="1115"/>
      <c r="G3" s="1116"/>
      <c r="H3" s="1114" t="s">
        <v>1074</v>
      </c>
      <c r="I3" s="1115"/>
      <c r="J3" s="1115"/>
      <c r="K3" s="1116"/>
      <c r="L3" s="1114" t="s">
        <v>1075</v>
      </c>
      <c r="M3" s="1115"/>
      <c r="N3" s="1115"/>
      <c r="O3" s="1116"/>
      <c r="P3" s="1114" t="s">
        <v>1076</v>
      </c>
      <c r="Q3" s="1115"/>
      <c r="R3" s="1115"/>
      <c r="S3" s="1116"/>
      <c r="T3" s="1114" t="s">
        <v>1077</v>
      </c>
      <c r="U3" s="1115"/>
      <c r="V3" s="1115"/>
      <c r="W3" s="1116"/>
      <c r="X3" s="1114" t="s">
        <v>1078</v>
      </c>
      <c r="Y3" s="1115"/>
      <c r="Z3" s="1115"/>
      <c r="AA3" s="1116"/>
      <c r="AB3" s="1114" t="s">
        <v>1079</v>
      </c>
      <c r="AC3" s="1115"/>
      <c r="AD3" s="1115"/>
      <c r="AE3" s="1116"/>
      <c r="AF3" s="1114"/>
      <c r="AG3" s="1115"/>
      <c r="AH3" s="1115"/>
      <c r="AI3" s="1115"/>
      <c r="AJ3" s="1157"/>
    </row>
    <row r="4" spans="1:36" ht="18" customHeight="1">
      <c r="A4" s="1271" t="s">
        <v>116</v>
      </c>
      <c r="B4" s="1051" t="s">
        <v>2</v>
      </c>
      <c r="C4" s="1051" t="s">
        <v>3</v>
      </c>
      <c r="D4" s="1246" t="s">
        <v>112</v>
      </c>
      <c r="E4" s="1247"/>
      <c r="F4" s="1246" t="s">
        <v>113</v>
      </c>
      <c r="G4" s="1247"/>
      <c r="H4" s="1246" t="s">
        <v>112</v>
      </c>
      <c r="I4" s="1247"/>
      <c r="J4" s="1246" t="s">
        <v>113</v>
      </c>
      <c r="K4" s="1247"/>
      <c r="L4" s="1246" t="s">
        <v>112</v>
      </c>
      <c r="M4" s="1247"/>
      <c r="N4" s="1246" t="s">
        <v>113</v>
      </c>
      <c r="O4" s="1247"/>
      <c r="P4" s="1246" t="s">
        <v>112</v>
      </c>
      <c r="Q4" s="1247"/>
      <c r="R4" s="1246" t="s">
        <v>113</v>
      </c>
      <c r="S4" s="1247"/>
      <c r="T4" s="1246" t="s">
        <v>112</v>
      </c>
      <c r="U4" s="1247"/>
      <c r="V4" s="1246" t="s">
        <v>113</v>
      </c>
      <c r="W4" s="1247"/>
      <c r="X4" s="1246" t="s">
        <v>112</v>
      </c>
      <c r="Y4" s="1247"/>
      <c r="Z4" s="1246" t="s">
        <v>113</v>
      </c>
      <c r="AA4" s="1247"/>
      <c r="AB4" s="1246" t="s">
        <v>112</v>
      </c>
      <c r="AC4" s="1247"/>
      <c r="AD4" s="1246" t="s">
        <v>113</v>
      </c>
      <c r="AE4" s="1247"/>
      <c r="AF4" s="1117" t="s">
        <v>4</v>
      </c>
      <c r="AG4" s="1117" t="s">
        <v>855</v>
      </c>
      <c r="AH4" s="1117" t="s">
        <v>5</v>
      </c>
      <c r="AI4" s="1119" t="s">
        <v>83</v>
      </c>
      <c r="AJ4" s="1158" t="s">
        <v>84</v>
      </c>
    </row>
    <row r="5" spans="1:36" ht="90.75" customHeight="1" thickBot="1">
      <c r="A5" s="1272"/>
      <c r="B5" s="1052"/>
      <c r="C5" s="1052"/>
      <c r="D5" s="25" t="s">
        <v>6</v>
      </c>
      <c r="E5" s="25" t="s">
        <v>7</v>
      </c>
      <c r="F5" s="25" t="s">
        <v>6</v>
      </c>
      <c r="G5" s="25" t="s">
        <v>96</v>
      </c>
      <c r="H5" s="25" t="s">
        <v>6</v>
      </c>
      <c r="I5" s="25" t="s">
        <v>7</v>
      </c>
      <c r="J5" s="25" t="s">
        <v>6</v>
      </c>
      <c r="K5" s="25" t="s">
        <v>96</v>
      </c>
      <c r="L5" s="25" t="s">
        <v>6</v>
      </c>
      <c r="M5" s="25" t="s">
        <v>7</v>
      </c>
      <c r="N5" s="25" t="s">
        <v>6</v>
      </c>
      <c r="O5" s="25" t="s">
        <v>96</v>
      </c>
      <c r="P5" s="25" t="s">
        <v>6</v>
      </c>
      <c r="Q5" s="25" t="s">
        <v>7</v>
      </c>
      <c r="R5" s="25" t="s">
        <v>6</v>
      </c>
      <c r="S5" s="25" t="s">
        <v>96</v>
      </c>
      <c r="T5" s="25" t="s">
        <v>6</v>
      </c>
      <c r="U5" s="25" t="s">
        <v>7</v>
      </c>
      <c r="V5" s="25" t="s">
        <v>6</v>
      </c>
      <c r="W5" s="25" t="s">
        <v>96</v>
      </c>
      <c r="X5" s="25" t="s">
        <v>6</v>
      </c>
      <c r="Y5" s="25" t="s">
        <v>7</v>
      </c>
      <c r="Z5" s="25" t="s">
        <v>6</v>
      </c>
      <c r="AA5" s="25" t="s">
        <v>96</v>
      </c>
      <c r="AB5" s="25" t="s">
        <v>6</v>
      </c>
      <c r="AC5" s="25" t="s">
        <v>7</v>
      </c>
      <c r="AD5" s="25" t="s">
        <v>6</v>
      </c>
      <c r="AE5" s="25" t="s">
        <v>96</v>
      </c>
      <c r="AF5" s="1118"/>
      <c r="AG5" s="1118"/>
      <c r="AH5" s="1118"/>
      <c r="AI5" s="1120"/>
      <c r="AJ5" s="1159"/>
    </row>
    <row r="6" spans="1:36" s="828" customFormat="1" ht="32.25" customHeight="1">
      <c r="A6" s="770" t="s">
        <v>210</v>
      </c>
      <c r="B6" s="151" t="s">
        <v>8</v>
      </c>
      <c r="C6" s="152" t="s">
        <v>97</v>
      </c>
      <c r="D6" s="91">
        <v>40</v>
      </c>
      <c r="E6" s="2">
        <v>43</v>
      </c>
      <c r="F6" s="91">
        <v>40</v>
      </c>
      <c r="G6" s="91">
        <v>2.6</v>
      </c>
      <c r="H6" s="804">
        <v>90</v>
      </c>
      <c r="I6" s="804">
        <v>81</v>
      </c>
      <c r="J6" s="804">
        <v>30</v>
      </c>
      <c r="K6" s="804">
        <v>2.01</v>
      </c>
      <c r="L6" s="805"/>
      <c r="M6" s="805"/>
      <c r="N6" s="805"/>
      <c r="O6" s="805"/>
      <c r="P6" s="68">
        <v>78</v>
      </c>
      <c r="Q6" s="68">
        <v>52</v>
      </c>
      <c r="R6" s="68">
        <v>30</v>
      </c>
      <c r="S6" s="68">
        <v>2.75</v>
      </c>
      <c r="T6" s="206">
        <v>23</v>
      </c>
      <c r="U6" s="206">
        <v>0</v>
      </c>
      <c r="V6" s="206">
        <v>32</v>
      </c>
      <c r="W6" s="206">
        <v>2.78</v>
      </c>
      <c r="X6" s="68">
        <v>2</v>
      </c>
      <c r="Y6" s="145">
        <v>1</v>
      </c>
      <c r="Z6" s="68">
        <v>30</v>
      </c>
      <c r="AA6" s="68">
        <v>0.75</v>
      </c>
      <c r="AB6" s="593">
        <v>25</v>
      </c>
      <c r="AC6" s="557">
        <v>21</v>
      </c>
      <c r="AD6" s="593">
        <v>60</v>
      </c>
      <c r="AE6" s="557">
        <v>3.68</v>
      </c>
      <c r="AF6" s="145" t="s">
        <v>9</v>
      </c>
      <c r="AG6" s="145">
        <v>30</v>
      </c>
      <c r="AH6" s="145" t="s">
        <v>10</v>
      </c>
      <c r="AI6" s="150" t="s">
        <v>306</v>
      </c>
      <c r="AJ6" s="836" t="s">
        <v>300</v>
      </c>
    </row>
    <row r="7" spans="1:36" s="828" customFormat="1" ht="15.75">
      <c r="A7" s="770" t="s">
        <v>212</v>
      </c>
      <c r="B7" s="34" t="s">
        <v>8</v>
      </c>
      <c r="C7" s="152" t="s">
        <v>39</v>
      </c>
      <c r="D7" s="91">
        <v>90</v>
      </c>
      <c r="E7" s="91">
        <v>78</v>
      </c>
      <c r="F7" s="91">
        <v>40</v>
      </c>
      <c r="G7" s="91">
        <v>2.6</v>
      </c>
      <c r="H7" s="689">
        <v>90</v>
      </c>
      <c r="I7" s="689">
        <v>86</v>
      </c>
      <c r="J7" s="804">
        <v>510</v>
      </c>
      <c r="K7" s="804">
        <v>27.73</v>
      </c>
      <c r="L7" s="152"/>
      <c r="M7" s="152"/>
      <c r="N7" s="152"/>
      <c r="O7" s="152"/>
      <c r="P7" s="68">
        <v>690</v>
      </c>
      <c r="Q7" s="67">
        <v>0</v>
      </c>
      <c r="R7" s="68">
        <v>300</v>
      </c>
      <c r="S7" s="68">
        <v>19.7</v>
      </c>
      <c r="T7" s="206">
        <v>23</v>
      </c>
      <c r="U7" s="206">
        <v>0</v>
      </c>
      <c r="V7" s="206">
        <v>32</v>
      </c>
      <c r="W7" s="206">
        <v>2.12</v>
      </c>
      <c r="X7" s="68">
        <v>5</v>
      </c>
      <c r="Y7" s="68">
        <v>1</v>
      </c>
      <c r="Z7" s="68">
        <v>150</v>
      </c>
      <c r="AA7" s="68">
        <v>5.61</v>
      </c>
      <c r="AB7" s="593">
        <v>86</v>
      </c>
      <c r="AC7" s="593">
        <v>0</v>
      </c>
      <c r="AD7" s="593">
        <v>90</v>
      </c>
      <c r="AE7" s="557">
        <v>6.44</v>
      </c>
      <c r="AF7" s="145" t="s">
        <v>15</v>
      </c>
      <c r="AG7" s="145">
        <v>30</v>
      </c>
      <c r="AH7" s="145" t="s">
        <v>10</v>
      </c>
      <c r="AI7" s="150" t="s">
        <v>306</v>
      </c>
      <c r="AJ7" s="150" t="s">
        <v>306</v>
      </c>
    </row>
    <row r="8" spans="1:36" s="828" customFormat="1" ht="30">
      <c r="A8" s="770" t="s">
        <v>1225</v>
      </c>
      <c r="B8" s="34" t="s">
        <v>8</v>
      </c>
      <c r="C8" s="152" t="s">
        <v>1226</v>
      </c>
      <c r="D8" s="91">
        <v>30</v>
      </c>
      <c r="E8" s="608">
        <v>0</v>
      </c>
      <c r="F8" s="91">
        <v>37</v>
      </c>
      <c r="G8" s="91">
        <v>2.34</v>
      </c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68">
        <v>0</v>
      </c>
      <c r="Y8" s="68">
        <v>0</v>
      </c>
      <c r="Z8" s="68">
        <v>60</v>
      </c>
      <c r="AA8" s="68">
        <v>0.6</v>
      </c>
      <c r="AB8" s="68"/>
      <c r="AC8" s="68"/>
      <c r="AD8" s="68"/>
      <c r="AE8" s="68"/>
      <c r="AF8" s="68" t="s">
        <v>685</v>
      </c>
      <c r="AG8" s="145">
        <v>30</v>
      </c>
      <c r="AH8" s="145" t="s">
        <v>1244</v>
      </c>
      <c r="AI8" s="68" t="s">
        <v>1056</v>
      </c>
      <c r="AJ8" s="119" t="s">
        <v>1245</v>
      </c>
    </row>
    <row r="9" spans="1:36" s="828" customFormat="1" ht="38.25" customHeight="1">
      <c r="A9" s="770" t="s">
        <v>214</v>
      </c>
      <c r="B9" s="34" t="s">
        <v>8</v>
      </c>
      <c r="C9" s="152" t="s">
        <v>213</v>
      </c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91">
        <v>1</v>
      </c>
      <c r="O9" s="91">
        <v>1.78</v>
      </c>
      <c r="P9" s="91"/>
      <c r="Q9" s="91"/>
      <c r="R9" s="91"/>
      <c r="S9" s="91"/>
      <c r="T9" s="206">
        <v>22</v>
      </c>
      <c r="U9" s="206">
        <v>0</v>
      </c>
      <c r="V9" s="206">
        <v>32</v>
      </c>
      <c r="W9" s="206">
        <v>2.38</v>
      </c>
      <c r="X9" s="68">
        <v>1</v>
      </c>
      <c r="Y9" s="68">
        <v>0</v>
      </c>
      <c r="Z9" s="68">
        <v>14</v>
      </c>
      <c r="AA9" s="68">
        <v>0.96</v>
      </c>
      <c r="AB9" s="593">
        <v>30</v>
      </c>
      <c r="AC9" s="593" t="s">
        <v>704</v>
      </c>
      <c r="AD9" s="593">
        <v>30</v>
      </c>
      <c r="AE9" s="678">
        <v>2.3</v>
      </c>
      <c r="AF9" s="145" t="s">
        <v>81</v>
      </c>
      <c r="AG9" s="145">
        <v>30</v>
      </c>
      <c r="AH9" s="145" t="s">
        <v>1161</v>
      </c>
      <c r="AI9" s="150" t="s">
        <v>306</v>
      </c>
      <c r="AJ9" s="837" t="s">
        <v>328</v>
      </c>
    </row>
    <row r="10" spans="1:36" ht="15.75">
      <c r="A10" s="806"/>
      <c r="B10" s="1273" t="s">
        <v>14</v>
      </c>
      <c r="C10" s="1273"/>
      <c r="D10" s="163">
        <f>SUM(D6:D9)</f>
        <v>160</v>
      </c>
      <c r="E10" s="163">
        <f aca="true" t="shared" si="0" ref="E10:AE10">SUM(E6:E9)</f>
        <v>121</v>
      </c>
      <c r="F10" s="163">
        <f t="shared" si="0"/>
        <v>117</v>
      </c>
      <c r="G10" s="163">
        <f t="shared" si="0"/>
        <v>7.54</v>
      </c>
      <c r="H10" s="163">
        <f t="shared" si="0"/>
        <v>180</v>
      </c>
      <c r="I10" s="163">
        <f t="shared" si="0"/>
        <v>167</v>
      </c>
      <c r="J10" s="163">
        <f t="shared" si="0"/>
        <v>540</v>
      </c>
      <c r="K10" s="163">
        <f t="shared" si="0"/>
        <v>29.740000000000002</v>
      </c>
      <c r="L10" s="163">
        <f t="shared" si="0"/>
        <v>0</v>
      </c>
      <c r="M10" s="163">
        <f t="shared" si="0"/>
        <v>0</v>
      </c>
      <c r="N10" s="163">
        <f t="shared" si="0"/>
        <v>1</v>
      </c>
      <c r="O10" s="163">
        <f t="shared" si="0"/>
        <v>1.78</v>
      </c>
      <c r="P10" s="163">
        <f t="shared" si="0"/>
        <v>768</v>
      </c>
      <c r="Q10" s="163">
        <f t="shared" si="0"/>
        <v>52</v>
      </c>
      <c r="R10" s="163">
        <f t="shared" si="0"/>
        <v>330</v>
      </c>
      <c r="S10" s="163">
        <f t="shared" si="0"/>
        <v>22.45</v>
      </c>
      <c r="T10" s="163">
        <f t="shared" si="0"/>
        <v>68</v>
      </c>
      <c r="U10" s="163">
        <f t="shared" si="0"/>
        <v>0</v>
      </c>
      <c r="V10" s="163">
        <f t="shared" si="0"/>
        <v>96</v>
      </c>
      <c r="W10" s="163">
        <f t="shared" si="0"/>
        <v>7.28</v>
      </c>
      <c r="X10" s="163">
        <f t="shared" si="0"/>
        <v>8</v>
      </c>
      <c r="Y10" s="163">
        <f t="shared" si="0"/>
        <v>2</v>
      </c>
      <c r="Z10" s="163">
        <f t="shared" si="0"/>
        <v>254</v>
      </c>
      <c r="AA10" s="163">
        <f t="shared" si="0"/>
        <v>7.92</v>
      </c>
      <c r="AB10" s="163">
        <f t="shared" si="0"/>
        <v>141</v>
      </c>
      <c r="AC10" s="163">
        <f t="shared" si="0"/>
        <v>21</v>
      </c>
      <c r="AD10" s="163">
        <f t="shared" si="0"/>
        <v>180</v>
      </c>
      <c r="AE10" s="163">
        <f t="shared" si="0"/>
        <v>12.420000000000002</v>
      </c>
      <c r="AF10" s="686"/>
      <c r="AG10" s="686"/>
      <c r="AH10" s="686"/>
      <c r="AI10" s="686"/>
      <c r="AJ10" s="687"/>
    </row>
    <row r="11" spans="1:36" s="606" customFormat="1" ht="45">
      <c r="A11" s="770" t="s">
        <v>216</v>
      </c>
      <c r="B11" s="151" t="s">
        <v>215</v>
      </c>
      <c r="C11" s="151" t="s">
        <v>331</v>
      </c>
      <c r="D11" s="91">
        <v>300</v>
      </c>
      <c r="E11" s="2">
        <v>0</v>
      </c>
      <c r="F11" s="91">
        <v>300</v>
      </c>
      <c r="G11" s="91">
        <v>19.47</v>
      </c>
      <c r="H11" s="151"/>
      <c r="I11" s="151"/>
      <c r="J11" s="151"/>
      <c r="K11" s="151"/>
      <c r="L11" s="151"/>
      <c r="M11" s="151"/>
      <c r="N11" s="151"/>
      <c r="O11" s="151"/>
      <c r="P11" s="68">
        <v>616</v>
      </c>
      <c r="Q11" s="67">
        <v>0</v>
      </c>
      <c r="R11" s="68">
        <v>616</v>
      </c>
      <c r="S11" s="145" t="s">
        <v>1246</v>
      </c>
      <c r="T11" s="1211">
        <v>76</v>
      </c>
      <c r="U11" s="1211">
        <v>0</v>
      </c>
      <c r="V11" s="1211">
        <v>80</v>
      </c>
      <c r="W11" s="1288">
        <v>2</v>
      </c>
      <c r="X11" s="68">
        <v>6</v>
      </c>
      <c r="Y11" s="145">
        <v>0</v>
      </c>
      <c r="Z11" s="68">
        <v>160</v>
      </c>
      <c r="AA11" s="68">
        <v>4</v>
      </c>
      <c r="AB11" s="557">
        <v>96</v>
      </c>
      <c r="AC11" s="1290" t="s">
        <v>704</v>
      </c>
      <c r="AD11" s="557">
        <v>0</v>
      </c>
      <c r="AE11" s="557">
        <v>0</v>
      </c>
      <c r="AF11" s="33" t="s">
        <v>333</v>
      </c>
      <c r="AG11" s="145">
        <v>25</v>
      </c>
      <c r="AH11" s="145" t="s">
        <v>10</v>
      </c>
      <c r="AI11" s="33"/>
      <c r="AJ11" s="120" t="s">
        <v>329</v>
      </c>
    </row>
    <row r="12" spans="1:36" s="606" customFormat="1" ht="45">
      <c r="A12" s="770" t="s">
        <v>217</v>
      </c>
      <c r="B12" s="151" t="s">
        <v>215</v>
      </c>
      <c r="C12" s="151" t="s">
        <v>332</v>
      </c>
      <c r="D12" s="91">
        <v>6720</v>
      </c>
      <c r="E12" s="2">
        <v>0</v>
      </c>
      <c r="F12" s="91">
        <v>2160</v>
      </c>
      <c r="G12" s="91">
        <v>73.08</v>
      </c>
      <c r="H12" s="560">
        <v>180</v>
      </c>
      <c r="I12" s="689">
        <v>0</v>
      </c>
      <c r="J12" s="807" t="s">
        <v>1247</v>
      </c>
      <c r="K12" s="808" t="s">
        <v>1248</v>
      </c>
      <c r="L12" s="151"/>
      <c r="M12" s="151"/>
      <c r="N12" s="145">
        <v>75</v>
      </c>
      <c r="O12" s="68" t="s">
        <v>1249</v>
      </c>
      <c r="P12" s="68">
        <v>2464</v>
      </c>
      <c r="Q12" s="67">
        <v>0</v>
      </c>
      <c r="R12" s="68">
        <v>2464</v>
      </c>
      <c r="S12" s="145" t="s">
        <v>1250</v>
      </c>
      <c r="T12" s="1213"/>
      <c r="U12" s="1213"/>
      <c r="V12" s="1213"/>
      <c r="W12" s="1289"/>
      <c r="X12" s="68">
        <v>200</v>
      </c>
      <c r="Y12" s="145">
        <v>0</v>
      </c>
      <c r="Z12" s="68">
        <v>600</v>
      </c>
      <c r="AA12" s="68">
        <v>8.7</v>
      </c>
      <c r="AB12" s="557">
        <v>2934</v>
      </c>
      <c r="AC12" s="1290"/>
      <c r="AD12" s="557">
        <v>0</v>
      </c>
      <c r="AE12" s="557">
        <v>0</v>
      </c>
      <c r="AF12" s="33" t="s">
        <v>81</v>
      </c>
      <c r="AG12" s="145" t="s">
        <v>986</v>
      </c>
      <c r="AH12" s="33" t="s">
        <v>575</v>
      </c>
      <c r="AI12" s="33"/>
      <c r="AJ12" s="120" t="s">
        <v>329</v>
      </c>
    </row>
    <row r="13" spans="1:36" ht="15.75">
      <c r="A13" s="806"/>
      <c r="B13" s="1273" t="s">
        <v>14</v>
      </c>
      <c r="C13" s="1273"/>
      <c r="D13" s="163">
        <f>SUM(D11:D12)</f>
        <v>7020</v>
      </c>
      <c r="E13" s="163">
        <f aca="true" t="shared" si="1" ref="E13:AE13">SUM(E11:E12)</f>
        <v>0</v>
      </c>
      <c r="F13" s="163">
        <f t="shared" si="1"/>
        <v>2460</v>
      </c>
      <c r="G13" s="163">
        <f t="shared" si="1"/>
        <v>92.55</v>
      </c>
      <c r="H13" s="163">
        <f t="shared" si="1"/>
        <v>180</v>
      </c>
      <c r="I13" s="163">
        <f t="shared" si="1"/>
        <v>0</v>
      </c>
      <c r="J13" s="163">
        <f t="shared" si="1"/>
        <v>0</v>
      </c>
      <c r="K13" s="163">
        <f t="shared" si="1"/>
        <v>0</v>
      </c>
      <c r="L13" s="163">
        <f t="shared" si="1"/>
        <v>0</v>
      </c>
      <c r="M13" s="163">
        <f t="shared" si="1"/>
        <v>0</v>
      </c>
      <c r="N13" s="163">
        <f t="shared" si="1"/>
        <v>75</v>
      </c>
      <c r="O13" s="163">
        <f t="shared" si="1"/>
        <v>0</v>
      </c>
      <c r="P13" s="163">
        <f t="shared" si="1"/>
        <v>3080</v>
      </c>
      <c r="Q13" s="163">
        <f t="shared" si="1"/>
        <v>0</v>
      </c>
      <c r="R13" s="163">
        <f t="shared" si="1"/>
        <v>3080</v>
      </c>
      <c r="S13" s="163">
        <f t="shared" si="1"/>
        <v>0</v>
      </c>
      <c r="T13" s="163">
        <f t="shared" si="1"/>
        <v>76</v>
      </c>
      <c r="U13" s="163">
        <f t="shared" si="1"/>
        <v>0</v>
      </c>
      <c r="V13" s="163">
        <f t="shared" si="1"/>
        <v>80</v>
      </c>
      <c r="W13" s="163">
        <f t="shared" si="1"/>
        <v>2</v>
      </c>
      <c r="X13" s="163">
        <f t="shared" si="1"/>
        <v>206</v>
      </c>
      <c r="Y13" s="163">
        <f t="shared" si="1"/>
        <v>0</v>
      </c>
      <c r="Z13" s="163">
        <f t="shared" si="1"/>
        <v>760</v>
      </c>
      <c r="AA13" s="163">
        <f t="shared" si="1"/>
        <v>12.7</v>
      </c>
      <c r="AB13" s="163">
        <f t="shared" si="1"/>
        <v>3030</v>
      </c>
      <c r="AC13" s="163">
        <f t="shared" si="1"/>
        <v>0</v>
      </c>
      <c r="AD13" s="163">
        <f t="shared" si="1"/>
        <v>0</v>
      </c>
      <c r="AE13" s="163">
        <f t="shared" si="1"/>
        <v>0</v>
      </c>
      <c r="AF13" s="686"/>
      <c r="AG13" s="686"/>
      <c r="AH13" s="686"/>
      <c r="AI13" s="686"/>
      <c r="AJ13" s="687"/>
    </row>
    <row r="14" spans="1:36" s="606" customFormat="1" ht="15.75">
      <c r="A14" s="809" t="s">
        <v>925</v>
      </c>
      <c r="B14" s="810" t="s">
        <v>1227</v>
      </c>
      <c r="C14" s="811" t="s">
        <v>486</v>
      </c>
      <c r="D14" s="811"/>
      <c r="E14" s="811"/>
      <c r="F14" s="811"/>
      <c r="G14" s="811"/>
      <c r="H14" s="560">
        <v>3009</v>
      </c>
      <c r="I14" s="689">
        <v>0</v>
      </c>
      <c r="J14" s="811"/>
      <c r="K14" s="811"/>
      <c r="L14" s="811"/>
      <c r="M14" s="811"/>
      <c r="N14" s="811"/>
      <c r="O14" s="811"/>
      <c r="P14" s="811"/>
      <c r="Q14" s="811"/>
      <c r="R14" s="811"/>
      <c r="S14" s="811"/>
      <c r="T14" s="206">
        <v>22</v>
      </c>
      <c r="U14" s="206">
        <v>0</v>
      </c>
      <c r="V14" s="206">
        <v>22</v>
      </c>
      <c r="W14" s="206">
        <v>0.99</v>
      </c>
      <c r="X14" s="811"/>
      <c r="Y14" s="811"/>
      <c r="Z14" s="811"/>
      <c r="AA14" s="811"/>
      <c r="AB14" s="811"/>
      <c r="AC14" s="811"/>
      <c r="AD14" s="811"/>
      <c r="AE14" s="811"/>
      <c r="AF14" s="811" t="s">
        <v>35</v>
      </c>
      <c r="AG14" s="33">
        <v>20</v>
      </c>
      <c r="AH14" s="33"/>
      <c r="AI14" s="33"/>
      <c r="AJ14" s="120"/>
    </row>
    <row r="15" spans="1:36" s="606" customFormat="1" ht="30">
      <c r="A15" s="812" t="s">
        <v>652</v>
      </c>
      <c r="B15" s="55" t="s">
        <v>653</v>
      </c>
      <c r="C15" s="145" t="s">
        <v>654</v>
      </c>
      <c r="D15" s="145"/>
      <c r="E15" s="145"/>
      <c r="F15" s="145"/>
      <c r="G15" s="145"/>
      <c r="H15" s="145"/>
      <c r="I15" s="145"/>
      <c r="J15" s="145"/>
      <c r="K15" s="145"/>
      <c r="L15" s="55">
        <v>90</v>
      </c>
      <c r="M15" s="145"/>
      <c r="N15" s="68">
        <v>7</v>
      </c>
      <c r="O15" s="68">
        <v>1.05</v>
      </c>
      <c r="P15" s="68"/>
      <c r="Q15" s="68"/>
      <c r="R15" s="68"/>
      <c r="S15" s="68"/>
      <c r="T15" s="68"/>
      <c r="U15" s="68"/>
      <c r="V15" s="68"/>
      <c r="W15" s="68"/>
      <c r="X15" s="811"/>
      <c r="Y15" s="811"/>
      <c r="Z15" s="811"/>
      <c r="AA15" s="811"/>
      <c r="AB15" s="811"/>
      <c r="AC15" s="811"/>
      <c r="AD15" s="811"/>
      <c r="AE15" s="811"/>
      <c r="AF15" s="91" t="s">
        <v>15</v>
      </c>
      <c r="AG15" s="68" t="s">
        <v>575</v>
      </c>
      <c r="AH15" s="145" t="s">
        <v>10</v>
      </c>
      <c r="AI15" s="145" t="s">
        <v>306</v>
      </c>
      <c r="AJ15" s="121" t="s">
        <v>656</v>
      </c>
    </row>
    <row r="16" spans="1:36" s="606" customFormat="1" ht="15.75">
      <c r="A16" s="813" t="s">
        <v>581</v>
      </c>
      <c r="B16" s="94" t="s">
        <v>582</v>
      </c>
      <c r="C16" s="94" t="s">
        <v>583</v>
      </c>
      <c r="D16" s="94"/>
      <c r="E16" s="94"/>
      <c r="F16" s="94"/>
      <c r="G16" s="94"/>
      <c r="H16" s="94"/>
      <c r="I16" s="94"/>
      <c r="J16" s="94"/>
      <c r="K16" s="94"/>
      <c r="L16" s="55">
        <v>386</v>
      </c>
      <c r="M16" s="94"/>
      <c r="N16" s="68">
        <v>90</v>
      </c>
      <c r="O16" s="68">
        <v>13.5</v>
      </c>
      <c r="P16" s="68">
        <v>33</v>
      </c>
      <c r="Q16" s="67">
        <v>0</v>
      </c>
      <c r="R16" s="68">
        <v>33</v>
      </c>
      <c r="S16" s="68" t="s">
        <v>1251</v>
      </c>
      <c r="T16" s="68"/>
      <c r="U16" s="68"/>
      <c r="V16" s="68"/>
      <c r="W16" s="68"/>
      <c r="X16" s="68">
        <v>50</v>
      </c>
      <c r="Y16" s="68">
        <v>9</v>
      </c>
      <c r="Z16" s="68">
        <v>450</v>
      </c>
      <c r="AA16" s="68">
        <v>3</v>
      </c>
      <c r="AB16" s="68"/>
      <c r="AC16" s="68"/>
      <c r="AD16" s="68"/>
      <c r="AE16" s="68"/>
      <c r="AF16" s="145" t="s">
        <v>584</v>
      </c>
      <c r="AG16" s="68" t="s">
        <v>865</v>
      </c>
      <c r="AH16" s="145" t="s">
        <v>10</v>
      </c>
      <c r="AI16" s="145" t="s">
        <v>306</v>
      </c>
      <c r="AJ16" s="116" t="s">
        <v>586</v>
      </c>
    </row>
    <row r="17" spans="1:36" s="606" customFormat="1" ht="15.75" hidden="1">
      <c r="A17" s="813" t="s">
        <v>901</v>
      </c>
      <c r="B17" s="810" t="s">
        <v>1234</v>
      </c>
      <c r="C17" s="811" t="s">
        <v>311</v>
      </c>
      <c r="D17" s="811"/>
      <c r="E17" s="811"/>
      <c r="F17" s="811"/>
      <c r="G17" s="811"/>
      <c r="H17" s="811"/>
      <c r="I17" s="811"/>
      <c r="J17" s="811"/>
      <c r="K17" s="811"/>
      <c r="L17" s="811"/>
      <c r="M17" s="811"/>
      <c r="N17" s="811"/>
      <c r="O17" s="811"/>
      <c r="P17" s="811"/>
      <c r="Q17" s="811"/>
      <c r="R17" s="811"/>
      <c r="S17" s="811"/>
      <c r="T17" s="811"/>
      <c r="U17" s="811"/>
      <c r="V17" s="811"/>
      <c r="W17" s="811"/>
      <c r="X17" s="811"/>
      <c r="Y17" s="811"/>
      <c r="Z17" s="811"/>
      <c r="AA17" s="811"/>
      <c r="AB17" s="811"/>
      <c r="AC17" s="811"/>
      <c r="AD17" s="811"/>
      <c r="AE17" s="811"/>
      <c r="AF17" s="145"/>
      <c r="AG17" s="68"/>
      <c r="AH17" s="145" t="s">
        <v>10</v>
      </c>
      <c r="AI17" s="689" t="s">
        <v>306</v>
      </c>
      <c r="AJ17" s="814" t="s">
        <v>1235</v>
      </c>
    </row>
    <row r="18" spans="1:36" s="606" customFormat="1" ht="45">
      <c r="A18" s="838" t="s">
        <v>657</v>
      </c>
      <c r="B18" s="101" t="s">
        <v>658</v>
      </c>
      <c r="C18" s="55" t="s">
        <v>659</v>
      </c>
      <c r="D18" s="55"/>
      <c r="E18" s="55"/>
      <c r="F18" s="55"/>
      <c r="G18" s="55"/>
      <c r="H18" s="560">
        <v>7420</v>
      </c>
      <c r="I18" s="560">
        <v>0</v>
      </c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91" t="s">
        <v>12</v>
      </c>
      <c r="AG18" s="91" t="s">
        <v>575</v>
      </c>
      <c r="AH18" s="145" t="s">
        <v>10</v>
      </c>
      <c r="AI18" s="91"/>
      <c r="AJ18" s="367"/>
    </row>
    <row r="19" spans="1:36" s="606" customFormat="1" ht="30">
      <c r="A19" s="815" t="s">
        <v>1252</v>
      </c>
      <c r="B19" s="33" t="s">
        <v>1253</v>
      </c>
      <c r="C19" s="67" t="s">
        <v>1254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68">
        <v>77</v>
      </c>
      <c r="Q19" s="67">
        <v>77</v>
      </c>
      <c r="R19" s="68">
        <v>77</v>
      </c>
      <c r="S19" s="68">
        <v>4.06</v>
      </c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68" t="s">
        <v>15</v>
      </c>
      <c r="AG19" s="91"/>
      <c r="AH19" s="145" t="s">
        <v>10</v>
      </c>
      <c r="AI19" s="68" t="s">
        <v>306</v>
      </c>
      <c r="AJ19" s="121" t="s">
        <v>1255</v>
      </c>
    </row>
    <row r="20" spans="1:36" s="606" customFormat="1" ht="15.75">
      <c r="A20" s="815"/>
      <c r="B20" s="1037" t="s">
        <v>1256</v>
      </c>
      <c r="C20" s="67" t="s">
        <v>1257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68">
        <v>44</v>
      </c>
      <c r="Q20" s="68">
        <v>20</v>
      </c>
      <c r="R20" s="68">
        <v>24</v>
      </c>
      <c r="S20" s="68" t="s">
        <v>1251</v>
      </c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286" t="s">
        <v>23</v>
      </c>
      <c r="AG20" s="91"/>
      <c r="AH20" s="1062" t="s">
        <v>1161</v>
      </c>
      <c r="AI20" s="1286" t="s">
        <v>306</v>
      </c>
      <c r="AJ20" s="1287" t="s">
        <v>1255</v>
      </c>
    </row>
    <row r="21" spans="1:36" s="606" customFormat="1" ht="45">
      <c r="A21" s="815"/>
      <c r="B21" s="1037"/>
      <c r="C21" s="55" t="s">
        <v>1258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68">
        <v>109</v>
      </c>
      <c r="Q21" s="68">
        <v>0</v>
      </c>
      <c r="R21" s="68">
        <v>109</v>
      </c>
      <c r="S21" s="145" t="s">
        <v>1259</v>
      </c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286"/>
      <c r="AG21" s="91"/>
      <c r="AH21" s="1062"/>
      <c r="AI21" s="1286"/>
      <c r="AJ21" s="1287"/>
    </row>
    <row r="22" spans="1:36" s="606" customFormat="1" ht="45">
      <c r="A22" s="815"/>
      <c r="B22" s="1037"/>
      <c r="C22" s="55" t="s">
        <v>1260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68">
        <v>987</v>
      </c>
      <c r="Q22" s="68">
        <v>0</v>
      </c>
      <c r="R22" s="68">
        <v>987</v>
      </c>
      <c r="S22" s="145" t="s">
        <v>1261</v>
      </c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286"/>
      <c r="AG22" s="169"/>
      <c r="AH22" s="1062"/>
      <c r="AI22" s="1286"/>
      <c r="AJ22" s="1287"/>
    </row>
    <row r="23" spans="1:36" ht="16.5" thickBot="1">
      <c r="A23" s="806"/>
      <c r="B23" s="1273" t="s">
        <v>14</v>
      </c>
      <c r="C23" s="1273"/>
      <c r="D23" s="163">
        <f>SUM(D14:D22)</f>
        <v>0</v>
      </c>
      <c r="E23" s="163">
        <f aca="true" t="shared" si="2" ref="E23:AE23">SUM(E14:E22)</f>
        <v>0</v>
      </c>
      <c r="F23" s="163">
        <f t="shared" si="2"/>
        <v>0</v>
      </c>
      <c r="G23" s="163">
        <f t="shared" si="2"/>
        <v>0</v>
      </c>
      <c r="H23" s="163">
        <f t="shared" si="2"/>
        <v>10429</v>
      </c>
      <c r="I23" s="163">
        <f t="shared" si="2"/>
        <v>0</v>
      </c>
      <c r="J23" s="163">
        <f t="shared" si="2"/>
        <v>0</v>
      </c>
      <c r="K23" s="163">
        <f t="shared" si="2"/>
        <v>0</v>
      </c>
      <c r="L23" s="163">
        <f t="shared" si="2"/>
        <v>476</v>
      </c>
      <c r="M23" s="163">
        <f t="shared" si="2"/>
        <v>0</v>
      </c>
      <c r="N23" s="163">
        <f t="shared" si="2"/>
        <v>97</v>
      </c>
      <c r="O23" s="163">
        <f t="shared" si="2"/>
        <v>14.55</v>
      </c>
      <c r="P23" s="163">
        <f t="shared" si="2"/>
        <v>1250</v>
      </c>
      <c r="Q23" s="163">
        <f t="shared" si="2"/>
        <v>97</v>
      </c>
      <c r="R23" s="163">
        <f t="shared" si="2"/>
        <v>1230</v>
      </c>
      <c r="S23" s="163">
        <f t="shared" si="2"/>
        <v>4.06</v>
      </c>
      <c r="T23" s="163">
        <f t="shared" si="2"/>
        <v>22</v>
      </c>
      <c r="U23" s="163">
        <f t="shared" si="2"/>
        <v>0</v>
      </c>
      <c r="V23" s="163">
        <f t="shared" si="2"/>
        <v>22</v>
      </c>
      <c r="W23" s="163">
        <f t="shared" si="2"/>
        <v>0.99</v>
      </c>
      <c r="X23" s="163">
        <f t="shared" si="2"/>
        <v>50</v>
      </c>
      <c r="Y23" s="163">
        <f t="shared" si="2"/>
        <v>9</v>
      </c>
      <c r="Z23" s="163">
        <f t="shared" si="2"/>
        <v>450</v>
      </c>
      <c r="AA23" s="163">
        <f t="shared" si="2"/>
        <v>3</v>
      </c>
      <c r="AB23" s="163">
        <f t="shared" si="2"/>
        <v>0</v>
      </c>
      <c r="AC23" s="163">
        <f t="shared" si="2"/>
        <v>0</v>
      </c>
      <c r="AD23" s="163">
        <f t="shared" si="2"/>
        <v>0</v>
      </c>
      <c r="AE23" s="163">
        <f t="shared" si="2"/>
        <v>0</v>
      </c>
      <c r="AF23" s="686"/>
      <c r="AG23" s="686"/>
      <c r="AH23" s="686"/>
      <c r="AI23" s="686"/>
      <c r="AJ23" s="687"/>
    </row>
    <row r="24" spans="1:36" ht="16.5" thickBot="1">
      <c r="A24" s="709"/>
      <c r="B24" s="1168" t="s">
        <v>17</v>
      </c>
      <c r="C24" s="1168"/>
      <c r="D24" s="164">
        <f>SUM(D10,D13,D23)</f>
        <v>7180</v>
      </c>
      <c r="E24" s="164">
        <f aca="true" t="shared" si="3" ref="E24:AE24">SUM(E10,E13,E23)</f>
        <v>121</v>
      </c>
      <c r="F24" s="164">
        <f t="shared" si="3"/>
        <v>2577</v>
      </c>
      <c r="G24" s="164">
        <f t="shared" si="3"/>
        <v>100.09</v>
      </c>
      <c r="H24" s="164">
        <f t="shared" si="3"/>
        <v>10789</v>
      </c>
      <c r="I24" s="164">
        <f t="shared" si="3"/>
        <v>167</v>
      </c>
      <c r="J24" s="164">
        <f t="shared" si="3"/>
        <v>540</v>
      </c>
      <c r="K24" s="164">
        <f t="shared" si="3"/>
        <v>29.740000000000002</v>
      </c>
      <c r="L24" s="164">
        <f t="shared" si="3"/>
        <v>476</v>
      </c>
      <c r="M24" s="164">
        <f t="shared" si="3"/>
        <v>0</v>
      </c>
      <c r="N24" s="164">
        <f t="shared" si="3"/>
        <v>173</v>
      </c>
      <c r="O24" s="164">
        <f t="shared" si="3"/>
        <v>16.330000000000002</v>
      </c>
      <c r="P24" s="164">
        <f t="shared" si="3"/>
        <v>5098</v>
      </c>
      <c r="Q24" s="164">
        <f t="shared" si="3"/>
        <v>149</v>
      </c>
      <c r="R24" s="164">
        <f t="shared" si="3"/>
        <v>4640</v>
      </c>
      <c r="S24" s="164">
        <f t="shared" si="3"/>
        <v>26.509999999999998</v>
      </c>
      <c r="T24" s="164">
        <f t="shared" si="3"/>
        <v>166</v>
      </c>
      <c r="U24" s="164">
        <f t="shared" si="3"/>
        <v>0</v>
      </c>
      <c r="V24" s="164">
        <f t="shared" si="3"/>
        <v>198</v>
      </c>
      <c r="W24" s="164">
        <f t="shared" si="3"/>
        <v>10.270000000000001</v>
      </c>
      <c r="X24" s="164">
        <f t="shared" si="3"/>
        <v>264</v>
      </c>
      <c r="Y24" s="164">
        <f t="shared" si="3"/>
        <v>11</v>
      </c>
      <c r="Z24" s="164">
        <f t="shared" si="3"/>
        <v>1464</v>
      </c>
      <c r="AA24" s="164">
        <f t="shared" si="3"/>
        <v>23.619999999999997</v>
      </c>
      <c r="AB24" s="164">
        <f t="shared" si="3"/>
        <v>3171</v>
      </c>
      <c r="AC24" s="164">
        <f t="shared" si="3"/>
        <v>21</v>
      </c>
      <c r="AD24" s="164">
        <f t="shared" si="3"/>
        <v>180</v>
      </c>
      <c r="AE24" s="164">
        <f t="shared" si="3"/>
        <v>12.420000000000002</v>
      </c>
      <c r="AF24" s="710"/>
      <c r="AG24" s="710"/>
      <c r="AH24" s="710"/>
      <c r="AI24" s="710"/>
      <c r="AJ24" s="712"/>
    </row>
    <row r="25" ht="15.75">
      <c r="B25" s="19"/>
    </row>
  </sheetData>
  <sheetProtection/>
  <mergeCells count="47">
    <mergeCell ref="AH20:AH22"/>
    <mergeCell ref="AB4:AC4"/>
    <mergeCell ref="B23:C23"/>
    <mergeCell ref="B24:C24"/>
    <mergeCell ref="B13:C13"/>
    <mergeCell ref="B20:B22"/>
    <mergeCell ref="AF20:AF22"/>
    <mergeCell ref="X4:Y4"/>
    <mergeCell ref="AI20:AI22"/>
    <mergeCell ref="AJ20:AJ22"/>
    <mergeCell ref="AJ4:AJ5"/>
    <mergeCell ref="B10:C10"/>
    <mergeCell ref="T11:T12"/>
    <mergeCell ref="U11:U12"/>
    <mergeCell ref="V11:V12"/>
    <mergeCell ref="W11:W12"/>
    <mergeCell ref="AC11:AC12"/>
    <mergeCell ref="L4:M4"/>
    <mergeCell ref="AD4:AE4"/>
    <mergeCell ref="AF4:AF5"/>
    <mergeCell ref="AG4:AG5"/>
    <mergeCell ref="AH4:AH5"/>
    <mergeCell ref="AI4:AI5"/>
    <mergeCell ref="P4:Q4"/>
    <mergeCell ref="R4:S4"/>
    <mergeCell ref="T4:U4"/>
    <mergeCell ref="V4:W4"/>
    <mergeCell ref="X3:AA3"/>
    <mergeCell ref="Z4:AA4"/>
    <mergeCell ref="AF3:AJ3"/>
    <mergeCell ref="A4:A5"/>
    <mergeCell ref="B4:B5"/>
    <mergeCell ref="C4:C5"/>
    <mergeCell ref="D4:E4"/>
    <mergeCell ref="F4:G4"/>
    <mergeCell ref="H4:I4"/>
    <mergeCell ref="J4:K4"/>
    <mergeCell ref="AB3:AE3"/>
    <mergeCell ref="N4:O4"/>
    <mergeCell ref="A1:AJ1"/>
    <mergeCell ref="A2:AJ2"/>
    <mergeCell ref="A3:C3"/>
    <mergeCell ref="D3:G3"/>
    <mergeCell ref="H3:K3"/>
    <mergeCell ref="L3:O3"/>
    <mergeCell ref="P3:S3"/>
    <mergeCell ref="T3:W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23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5"/>
  <cols>
    <col min="1" max="1" width="13.00390625" style="598" customWidth="1"/>
    <col min="2" max="2" width="28.28125" style="598" customWidth="1"/>
    <col min="3" max="3" width="35.8515625" style="598" customWidth="1"/>
    <col min="4" max="31" width="7.7109375" style="598" customWidth="1"/>
    <col min="32" max="32" width="11.00390625" style="598" customWidth="1"/>
    <col min="33" max="33" width="21.421875" style="598" bestFit="1" customWidth="1"/>
    <col min="34" max="34" width="19.140625" style="598" customWidth="1"/>
    <col min="35" max="35" width="22.7109375" style="828" customWidth="1"/>
    <col min="36" max="36" width="30.7109375" style="828" customWidth="1"/>
    <col min="37" max="16384" width="9.140625" style="598" customWidth="1"/>
  </cols>
  <sheetData>
    <row r="1" spans="1:36" ht="27" customHeight="1" thickBot="1">
      <c r="A1" s="1225" t="s">
        <v>0</v>
      </c>
      <c r="B1" s="1291"/>
      <c r="C1" s="1291"/>
      <c r="D1" s="1291"/>
      <c r="E1" s="1291"/>
      <c r="F1" s="1291"/>
      <c r="G1" s="1291"/>
      <c r="H1" s="1291"/>
      <c r="I1" s="1291"/>
      <c r="J1" s="1291"/>
      <c r="K1" s="1291"/>
      <c r="L1" s="1291"/>
      <c r="M1" s="1291"/>
      <c r="N1" s="1291"/>
      <c r="O1" s="1291"/>
      <c r="P1" s="1291"/>
      <c r="Q1" s="1291"/>
      <c r="R1" s="1291"/>
      <c r="S1" s="1291"/>
      <c r="T1" s="1291"/>
      <c r="U1" s="1291"/>
      <c r="V1" s="1291"/>
      <c r="W1" s="1291"/>
      <c r="X1" s="1291"/>
      <c r="Y1" s="1291"/>
      <c r="Z1" s="1291"/>
      <c r="AA1" s="1291"/>
      <c r="AB1" s="1291"/>
      <c r="AC1" s="1291"/>
      <c r="AD1" s="1291"/>
      <c r="AE1" s="1291"/>
      <c r="AF1" s="1291"/>
      <c r="AG1" s="1291"/>
      <c r="AH1" s="1291"/>
      <c r="AI1" s="1291"/>
      <c r="AJ1" s="1291"/>
    </row>
    <row r="2" spans="1:36" s="826" customFormat="1" ht="30" customHeight="1" thickBot="1">
      <c r="A2" s="1235" t="s">
        <v>580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  <c r="N2" s="1259"/>
      <c r="O2" s="1259"/>
      <c r="P2" s="1259"/>
      <c r="Q2" s="1259"/>
      <c r="R2" s="1259"/>
      <c r="S2" s="1259"/>
      <c r="T2" s="1259"/>
      <c r="U2" s="1259"/>
      <c r="V2" s="1259"/>
      <c r="W2" s="1259"/>
      <c r="X2" s="1259"/>
      <c r="Y2" s="1259"/>
      <c r="Z2" s="1259"/>
      <c r="AA2" s="1259"/>
      <c r="AB2" s="1259"/>
      <c r="AC2" s="1259"/>
      <c r="AD2" s="1259"/>
      <c r="AE2" s="1259"/>
      <c r="AF2" s="1259"/>
      <c r="AG2" s="1259"/>
      <c r="AH2" s="1259"/>
      <c r="AI2" s="1259"/>
      <c r="AJ2" s="1259"/>
    </row>
    <row r="3" spans="1:36" s="826" customFormat="1" ht="16.5" thickBot="1">
      <c r="A3" s="732"/>
      <c r="B3" s="733"/>
      <c r="C3" s="733"/>
      <c r="D3" s="1114" t="s">
        <v>1105</v>
      </c>
      <c r="E3" s="1115"/>
      <c r="F3" s="1115"/>
      <c r="G3" s="1116"/>
      <c r="H3" s="1114" t="s">
        <v>1106</v>
      </c>
      <c r="I3" s="1115"/>
      <c r="J3" s="1115"/>
      <c r="K3" s="1116"/>
      <c r="L3" s="1114" t="s">
        <v>1107</v>
      </c>
      <c r="M3" s="1115"/>
      <c r="N3" s="1115"/>
      <c r="O3" s="1116"/>
      <c r="P3" s="1114" t="s">
        <v>1108</v>
      </c>
      <c r="Q3" s="1115"/>
      <c r="R3" s="1115"/>
      <c r="S3" s="1116"/>
      <c r="T3" s="1114" t="s">
        <v>1109</v>
      </c>
      <c r="U3" s="1115"/>
      <c r="V3" s="1115"/>
      <c r="W3" s="1116"/>
      <c r="X3" s="1114" t="s">
        <v>1110</v>
      </c>
      <c r="Y3" s="1115"/>
      <c r="Z3" s="1115"/>
      <c r="AA3" s="1116"/>
      <c r="AB3" s="1114" t="s">
        <v>1172</v>
      </c>
      <c r="AC3" s="1115"/>
      <c r="AD3" s="1115"/>
      <c r="AE3" s="1116"/>
      <c r="AF3" s="827"/>
      <c r="AG3" s="733"/>
      <c r="AH3" s="733"/>
      <c r="AI3" s="733"/>
      <c r="AJ3" s="734"/>
    </row>
    <row r="4" spans="1:36" ht="18" customHeight="1">
      <c r="A4" s="1271" t="s">
        <v>116</v>
      </c>
      <c r="B4" s="1051" t="s">
        <v>2</v>
      </c>
      <c r="C4" s="1051" t="s">
        <v>3</v>
      </c>
      <c r="D4" s="1246" t="s">
        <v>112</v>
      </c>
      <c r="E4" s="1247"/>
      <c r="F4" s="1246" t="s">
        <v>113</v>
      </c>
      <c r="G4" s="1247"/>
      <c r="H4" s="1246" t="s">
        <v>112</v>
      </c>
      <c r="I4" s="1247"/>
      <c r="J4" s="1246" t="s">
        <v>113</v>
      </c>
      <c r="K4" s="1247"/>
      <c r="L4" s="1246" t="s">
        <v>112</v>
      </c>
      <c r="M4" s="1247"/>
      <c r="N4" s="1246" t="s">
        <v>113</v>
      </c>
      <c r="O4" s="1247"/>
      <c r="P4" s="1246" t="s">
        <v>112</v>
      </c>
      <c r="Q4" s="1247"/>
      <c r="R4" s="1246" t="s">
        <v>113</v>
      </c>
      <c r="S4" s="1247"/>
      <c r="T4" s="1246" t="s">
        <v>112</v>
      </c>
      <c r="U4" s="1247"/>
      <c r="V4" s="1246" t="s">
        <v>113</v>
      </c>
      <c r="W4" s="1247"/>
      <c r="X4" s="1246" t="s">
        <v>112</v>
      </c>
      <c r="Y4" s="1247"/>
      <c r="Z4" s="1246" t="s">
        <v>113</v>
      </c>
      <c r="AA4" s="1247"/>
      <c r="AB4" s="1246" t="s">
        <v>112</v>
      </c>
      <c r="AC4" s="1247"/>
      <c r="AD4" s="1246" t="s">
        <v>113</v>
      </c>
      <c r="AE4" s="1247"/>
      <c r="AF4" s="1117" t="s">
        <v>4</v>
      </c>
      <c r="AG4" s="1117" t="s">
        <v>122</v>
      </c>
      <c r="AH4" s="1117" t="s">
        <v>5</v>
      </c>
      <c r="AI4" s="1119" t="s">
        <v>83</v>
      </c>
      <c r="AJ4" s="1121" t="s">
        <v>84</v>
      </c>
    </row>
    <row r="5" spans="1:36" ht="90.75" customHeight="1" thickBot="1">
      <c r="A5" s="1272"/>
      <c r="B5" s="1052"/>
      <c r="C5" s="1052"/>
      <c r="D5" s="25" t="s">
        <v>6</v>
      </c>
      <c r="E5" s="25" t="s">
        <v>7</v>
      </c>
      <c r="F5" s="25" t="s">
        <v>6</v>
      </c>
      <c r="G5" s="25" t="s">
        <v>96</v>
      </c>
      <c r="H5" s="25" t="s">
        <v>6</v>
      </c>
      <c r="I5" s="25" t="s">
        <v>7</v>
      </c>
      <c r="J5" s="25" t="s">
        <v>6</v>
      </c>
      <c r="K5" s="25" t="s">
        <v>96</v>
      </c>
      <c r="L5" s="25" t="s">
        <v>6</v>
      </c>
      <c r="M5" s="25" t="s">
        <v>7</v>
      </c>
      <c r="N5" s="25" t="s">
        <v>6</v>
      </c>
      <c r="O5" s="25" t="s">
        <v>96</v>
      </c>
      <c r="P5" s="25" t="s">
        <v>6</v>
      </c>
      <c r="Q5" s="25" t="s">
        <v>7</v>
      </c>
      <c r="R5" s="25" t="s">
        <v>6</v>
      </c>
      <c r="S5" s="25" t="s">
        <v>96</v>
      </c>
      <c r="T5" s="25" t="s">
        <v>6</v>
      </c>
      <c r="U5" s="25" t="s">
        <v>7</v>
      </c>
      <c r="V5" s="25" t="s">
        <v>6</v>
      </c>
      <c r="W5" s="25" t="s">
        <v>96</v>
      </c>
      <c r="X5" s="25" t="s">
        <v>6</v>
      </c>
      <c r="Y5" s="25" t="s">
        <v>7</v>
      </c>
      <c r="Z5" s="25" t="s">
        <v>6</v>
      </c>
      <c r="AA5" s="25" t="s">
        <v>96</v>
      </c>
      <c r="AB5" s="25" t="s">
        <v>6</v>
      </c>
      <c r="AC5" s="25" t="s">
        <v>7</v>
      </c>
      <c r="AD5" s="25" t="s">
        <v>6</v>
      </c>
      <c r="AE5" s="25" t="s">
        <v>96</v>
      </c>
      <c r="AF5" s="1118"/>
      <c r="AG5" s="1118"/>
      <c r="AH5" s="1118"/>
      <c r="AI5" s="1120"/>
      <c r="AJ5" s="1122"/>
    </row>
    <row r="6" spans="1:36" s="828" customFormat="1" ht="52.5" customHeight="1">
      <c r="A6" s="771" t="s">
        <v>211</v>
      </c>
      <c r="B6" s="406" t="s">
        <v>11</v>
      </c>
      <c r="C6" s="146" t="s">
        <v>93</v>
      </c>
      <c r="D6" s="146"/>
      <c r="E6" s="146"/>
      <c r="F6" s="146"/>
      <c r="G6" s="146"/>
      <c r="H6" s="146"/>
      <c r="I6" s="146"/>
      <c r="J6" s="623">
        <v>120</v>
      </c>
      <c r="K6" s="623">
        <v>0.42</v>
      </c>
      <c r="L6" s="146"/>
      <c r="M6" s="146"/>
      <c r="N6" s="146"/>
      <c r="O6" s="146"/>
      <c r="P6" s="146"/>
      <c r="Q6" s="146"/>
      <c r="R6" s="623"/>
      <c r="S6" s="623"/>
      <c r="T6" s="745">
        <v>25</v>
      </c>
      <c r="U6" s="745">
        <v>2</v>
      </c>
      <c r="V6" s="816"/>
      <c r="W6" s="816"/>
      <c r="X6" s="816"/>
      <c r="Y6" s="816"/>
      <c r="Z6" s="816"/>
      <c r="AA6" s="816"/>
      <c r="AB6" s="816"/>
      <c r="AC6" s="816"/>
      <c r="AD6" s="816"/>
      <c r="AE6" s="816"/>
      <c r="AF6" s="150" t="s">
        <v>12</v>
      </c>
      <c r="AG6" s="150" t="s">
        <v>862</v>
      </c>
      <c r="AH6" s="150" t="s">
        <v>298</v>
      </c>
      <c r="AI6" s="150" t="s">
        <v>306</v>
      </c>
      <c r="AJ6" s="150" t="s">
        <v>299</v>
      </c>
    </row>
    <row r="7" spans="1:36" s="828" customFormat="1" ht="32.25" customHeight="1">
      <c r="A7" s="770" t="s">
        <v>210</v>
      </c>
      <c r="B7" s="151" t="s">
        <v>8</v>
      </c>
      <c r="C7" s="152" t="s">
        <v>97</v>
      </c>
      <c r="D7" s="131"/>
      <c r="E7" s="131"/>
      <c r="F7" s="131">
        <v>20</v>
      </c>
      <c r="G7" s="9">
        <v>1.5</v>
      </c>
      <c r="H7" s="805"/>
      <c r="I7" s="805"/>
      <c r="J7" s="805"/>
      <c r="K7" s="805"/>
      <c r="L7" s="805"/>
      <c r="M7" s="805"/>
      <c r="N7" s="805"/>
      <c r="O7" s="805"/>
      <c r="P7" s="784">
        <v>25</v>
      </c>
      <c r="Q7" s="141"/>
      <c r="R7" s="784">
        <v>25</v>
      </c>
      <c r="S7" s="829">
        <v>0.2</v>
      </c>
      <c r="T7" s="745">
        <v>120</v>
      </c>
      <c r="U7" s="745">
        <v>23</v>
      </c>
      <c r="V7" s="746">
        <v>150</v>
      </c>
      <c r="W7" s="745">
        <v>8.45</v>
      </c>
      <c r="X7" s="830"/>
      <c r="Y7" s="830"/>
      <c r="Z7" s="830"/>
      <c r="AA7" s="830"/>
      <c r="AB7" s="149">
        <v>20</v>
      </c>
      <c r="AC7" s="149">
        <v>20</v>
      </c>
      <c r="AD7" s="149">
        <v>55</v>
      </c>
      <c r="AE7" s="149">
        <v>1.88</v>
      </c>
      <c r="AF7" s="145" t="s">
        <v>9</v>
      </c>
      <c r="AG7" s="145" t="s">
        <v>862</v>
      </c>
      <c r="AH7" s="145" t="s">
        <v>10</v>
      </c>
      <c r="AI7" s="150" t="s">
        <v>306</v>
      </c>
      <c r="AJ7" s="831" t="s">
        <v>300</v>
      </c>
    </row>
    <row r="8" spans="1:36" s="828" customFormat="1" ht="45">
      <c r="A8" s="770" t="s">
        <v>212</v>
      </c>
      <c r="B8" s="34" t="s">
        <v>8</v>
      </c>
      <c r="C8" s="152" t="s">
        <v>39</v>
      </c>
      <c r="D8" s="131"/>
      <c r="E8" s="131"/>
      <c r="F8" s="131">
        <v>40</v>
      </c>
      <c r="G8" s="9">
        <v>7.5</v>
      </c>
      <c r="H8" s="152"/>
      <c r="I8" s="152"/>
      <c r="J8" s="152"/>
      <c r="K8" s="817">
        <v>0.26</v>
      </c>
      <c r="L8" s="817">
        <v>50</v>
      </c>
      <c r="M8" s="817">
        <v>0</v>
      </c>
      <c r="N8" s="817">
        <v>50</v>
      </c>
      <c r="O8" s="817">
        <v>1.7</v>
      </c>
      <c r="P8" s="68">
        <v>110</v>
      </c>
      <c r="Q8" s="68"/>
      <c r="R8" s="68">
        <v>35</v>
      </c>
      <c r="S8" s="173">
        <v>0.45</v>
      </c>
      <c r="T8" s="745">
        <v>120</v>
      </c>
      <c r="U8" s="745">
        <v>41</v>
      </c>
      <c r="V8" s="746">
        <v>150</v>
      </c>
      <c r="W8" s="745">
        <v>7.65</v>
      </c>
      <c r="X8" s="832"/>
      <c r="Y8" s="832"/>
      <c r="Z8" s="832"/>
      <c r="AA8" s="832"/>
      <c r="AB8" s="11">
        <v>120</v>
      </c>
      <c r="AC8" s="115">
        <v>138</v>
      </c>
      <c r="AD8" s="150">
        <v>170</v>
      </c>
      <c r="AE8" s="150">
        <v>5.98</v>
      </c>
      <c r="AF8" s="145" t="s">
        <v>15</v>
      </c>
      <c r="AG8" s="145" t="s">
        <v>862</v>
      </c>
      <c r="AH8" s="145" t="s">
        <v>16</v>
      </c>
      <c r="AI8" s="150" t="s">
        <v>306</v>
      </c>
      <c r="AJ8" s="150" t="s">
        <v>299</v>
      </c>
    </row>
    <row r="9" spans="1:36" s="828" customFormat="1" ht="38.25" customHeight="1">
      <c r="A9" s="770" t="s">
        <v>214</v>
      </c>
      <c r="B9" s="34" t="s">
        <v>8</v>
      </c>
      <c r="C9" s="152" t="s">
        <v>213</v>
      </c>
      <c r="D9" s="833"/>
      <c r="E9" s="833"/>
      <c r="F9" s="833"/>
      <c r="G9" s="833"/>
      <c r="H9" s="817">
        <v>25</v>
      </c>
      <c r="I9" s="818">
        <v>2</v>
      </c>
      <c r="J9" s="817"/>
      <c r="K9" s="817">
        <v>0.27</v>
      </c>
      <c r="L9" s="817">
        <v>4</v>
      </c>
      <c r="M9" s="817">
        <v>0</v>
      </c>
      <c r="N9" s="817">
        <v>4</v>
      </c>
      <c r="O9" s="817">
        <v>0.5</v>
      </c>
      <c r="P9" s="68">
        <v>2</v>
      </c>
      <c r="Q9" s="68"/>
      <c r="R9" s="68">
        <v>2</v>
      </c>
      <c r="S9" s="173">
        <v>0.2</v>
      </c>
      <c r="T9" s="745">
        <v>30</v>
      </c>
      <c r="U9" s="745">
        <v>0</v>
      </c>
      <c r="V9" s="746">
        <v>10</v>
      </c>
      <c r="W9" s="745">
        <v>0.75</v>
      </c>
      <c r="X9" s="745"/>
      <c r="Y9" s="745"/>
      <c r="Z9" s="745"/>
      <c r="AA9" s="745"/>
      <c r="AB9" s="745"/>
      <c r="AC9" s="745"/>
      <c r="AD9" s="745"/>
      <c r="AE9" s="745"/>
      <c r="AF9" s="145" t="s">
        <v>81</v>
      </c>
      <c r="AG9" s="145" t="s">
        <v>862</v>
      </c>
      <c r="AH9" s="145" t="s">
        <v>94</v>
      </c>
      <c r="AI9" s="150" t="s">
        <v>306</v>
      </c>
      <c r="AJ9" s="790" t="s">
        <v>328</v>
      </c>
    </row>
    <row r="10" spans="1:36" ht="15.75">
      <c r="A10" s="806"/>
      <c r="B10" s="1273" t="s">
        <v>14</v>
      </c>
      <c r="C10" s="1273"/>
      <c r="D10" s="163">
        <f aca="true" t="shared" si="0" ref="D10:AE10">SUM(D6:D9)</f>
        <v>0</v>
      </c>
      <c r="E10" s="163">
        <f t="shared" si="0"/>
        <v>0</v>
      </c>
      <c r="F10" s="163">
        <f t="shared" si="0"/>
        <v>60</v>
      </c>
      <c r="G10" s="163">
        <f t="shared" si="0"/>
        <v>9</v>
      </c>
      <c r="H10" s="163">
        <f t="shared" si="0"/>
        <v>25</v>
      </c>
      <c r="I10" s="163">
        <f t="shared" si="0"/>
        <v>2</v>
      </c>
      <c r="J10" s="163">
        <f t="shared" si="0"/>
        <v>120</v>
      </c>
      <c r="K10" s="163">
        <f t="shared" si="0"/>
        <v>0.95</v>
      </c>
      <c r="L10" s="163">
        <f t="shared" si="0"/>
        <v>54</v>
      </c>
      <c r="M10" s="163">
        <f t="shared" si="0"/>
        <v>0</v>
      </c>
      <c r="N10" s="163">
        <f t="shared" si="0"/>
        <v>54</v>
      </c>
      <c r="O10" s="163">
        <f t="shared" si="0"/>
        <v>2.2</v>
      </c>
      <c r="P10" s="163">
        <f t="shared" si="0"/>
        <v>137</v>
      </c>
      <c r="Q10" s="163">
        <f t="shared" si="0"/>
        <v>0</v>
      </c>
      <c r="R10" s="163">
        <f t="shared" si="0"/>
        <v>62</v>
      </c>
      <c r="S10" s="163">
        <f t="shared" si="0"/>
        <v>0.8500000000000001</v>
      </c>
      <c r="T10" s="163">
        <f t="shared" si="0"/>
        <v>295</v>
      </c>
      <c r="U10" s="163">
        <f t="shared" si="0"/>
        <v>66</v>
      </c>
      <c r="V10" s="163">
        <f t="shared" si="0"/>
        <v>310</v>
      </c>
      <c r="W10" s="163">
        <f t="shared" si="0"/>
        <v>16.85</v>
      </c>
      <c r="X10" s="163">
        <f t="shared" si="0"/>
        <v>0</v>
      </c>
      <c r="Y10" s="163">
        <f t="shared" si="0"/>
        <v>0</v>
      </c>
      <c r="Z10" s="163">
        <f t="shared" si="0"/>
        <v>0</v>
      </c>
      <c r="AA10" s="163">
        <f t="shared" si="0"/>
        <v>0</v>
      </c>
      <c r="AB10" s="163">
        <f t="shared" si="0"/>
        <v>140</v>
      </c>
      <c r="AC10" s="163">
        <f t="shared" si="0"/>
        <v>158</v>
      </c>
      <c r="AD10" s="163">
        <f t="shared" si="0"/>
        <v>225</v>
      </c>
      <c r="AE10" s="163">
        <f t="shared" si="0"/>
        <v>7.86</v>
      </c>
      <c r="AF10" s="686"/>
      <c r="AG10" s="686"/>
      <c r="AH10" s="686"/>
      <c r="AI10" s="686"/>
      <c r="AJ10" s="686"/>
    </row>
    <row r="11" spans="1:36" s="606" customFormat="1" ht="15.75">
      <c r="A11" s="770" t="s">
        <v>1262</v>
      </c>
      <c r="B11" s="151" t="s">
        <v>215</v>
      </c>
      <c r="C11" s="151" t="s">
        <v>1263</v>
      </c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834">
        <v>720</v>
      </c>
      <c r="Q11" s="55"/>
      <c r="R11" s="834">
        <v>720</v>
      </c>
      <c r="S11" s="103">
        <v>1.5</v>
      </c>
      <c r="T11" s="745">
        <v>1900</v>
      </c>
      <c r="U11" s="745">
        <v>0</v>
      </c>
      <c r="V11" s="746">
        <v>400</v>
      </c>
      <c r="W11" s="745">
        <v>2.71</v>
      </c>
      <c r="X11" s="745"/>
      <c r="Y11" s="745"/>
      <c r="Z11" s="745"/>
      <c r="AA11" s="745"/>
      <c r="AB11" s="745"/>
      <c r="AC11" s="745"/>
      <c r="AD11" s="745"/>
      <c r="AE11" s="745"/>
      <c r="AF11" s="33"/>
      <c r="AG11" s="33" t="s">
        <v>862</v>
      </c>
      <c r="AH11" s="33"/>
      <c r="AI11" s="33"/>
      <c r="AJ11" s="33"/>
    </row>
    <row r="12" spans="1:36" s="606" customFormat="1" ht="15.75">
      <c r="A12" s="770" t="s">
        <v>216</v>
      </c>
      <c r="B12" s="151" t="s">
        <v>215</v>
      </c>
      <c r="C12" s="151" t="s">
        <v>331</v>
      </c>
      <c r="D12" s="131"/>
      <c r="E12" s="131"/>
      <c r="F12" s="131"/>
      <c r="G12" s="9">
        <v>8</v>
      </c>
      <c r="H12" s="151"/>
      <c r="I12" s="151"/>
      <c r="J12" s="817">
        <v>240</v>
      </c>
      <c r="K12" s="817">
        <v>11.4</v>
      </c>
      <c r="L12" s="151"/>
      <c r="M12" s="151"/>
      <c r="N12" s="151"/>
      <c r="O12" s="151"/>
      <c r="P12" s="151"/>
      <c r="Q12" s="151"/>
      <c r="R12" s="817"/>
      <c r="S12" s="817"/>
      <c r="T12" s="817"/>
      <c r="U12" s="817"/>
      <c r="V12" s="817"/>
      <c r="W12" s="817"/>
      <c r="X12" s="819"/>
      <c r="Y12" s="819"/>
      <c r="Z12" s="819"/>
      <c r="AA12" s="819"/>
      <c r="AB12" s="756">
        <v>0</v>
      </c>
      <c r="AC12" s="756">
        <v>0</v>
      </c>
      <c r="AD12" s="756">
        <v>440</v>
      </c>
      <c r="AE12" s="820">
        <v>8.8</v>
      </c>
      <c r="AF12" s="33" t="s">
        <v>333</v>
      </c>
      <c r="AG12" s="33" t="s">
        <v>862</v>
      </c>
      <c r="AH12" s="145" t="s">
        <v>10</v>
      </c>
      <c r="AI12" s="33"/>
      <c r="AJ12" s="33" t="s">
        <v>329</v>
      </c>
    </row>
    <row r="13" spans="1:36" s="606" customFormat="1" ht="15.75">
      <c r="A13" s="770" t="s">
        <v>217</v>
      </c>
      <c r="B13" s="151" t="s">
        <v>215</v>
      </c>
      <c r="C13" s="151" t="s">
        <v>332</v>
      </c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33" t="s">
        <v>81</v>
      </c>
      <c r="AG13" s="145" t="s">
        <v>986</v>
      </c>
      <c r="AH13" s="33" t="s">
        <v>16</v>
      </c>
      <c r="AI13" s="33"/>
      <c r="AJ13" s="33" t="s">
        <v>330</v>
      </c>
    </row>
    <row r="14" spans="1:36" ht="15.75">
      <c r="A14" s="686"/>
      <c r="B14" s="1273" t="s">
        <v>14</v>
      </c>
      <c r="C14" s="1273"/>
      <c r="D14" s="163">
        <f>SUM(D11:D13)</f>
        <v>0</v>
      </c>
      <c r="E14" s="163">
        <f aca="true" t="shared" si="1" ref="E14:AE14">SUM(E11:E13)</f>
        <v>0</v>
      </c>
      <c r="F14" s="163">
        <f t="shared" si="1"/>
        <v>0</v>
      </c>
      <c r="G14" s="163">
        <f t="shared" si="1"/>
        <v>8</v>
      </c>
      <c r="H14" s="163">
        <f t="shared" si="1"/>
        <v>0</v>
      </c>
      <c r="I14" s="163">
        <f t="shared" si="1"/>
        <v>0</v>
      </c>
      <c r="J14" s="163">
        <f t="shared" si="1"/>
        <v>240</v>
      </c>
      <c r="K14" s="163">
        <f t="shared" si="1"/>
        <v>11.4</v>
      </c>
      <c r="L14" s="163">
        <f t="shared" si="1"/>
        <v>0</v>
      </c>
      <c r="M14" s="163">
        <f t="shared" si="1"/>
        <v>0</v>
      </c>
      <c r="N14" s="163">
        <f t="shared" si="1"/>
        <v>0</v>
      </c>
      <c r="O14" s="163">
        <f t="shared" si="1"/>
        <v>0</v>
      </c>
      <c r="P14" s="163">
        <f t="shared" si="1"/>
        <v>720</v>
      </c>
      <c r="Q14" s="163">
        <f t="shared" si="1"/>
        <v>0</v>
      </c>
      <c r="R14" s="163">
        <f t="shared" si="1"/>
        <v>720</v>
      </c>
      <c r="S14" s="163">
        <f t="shared" si="1"/>
        <v>1.5</v>
      </c>
      <c r="T14" s="163">
        <f t="shared" si="1"/>
        <v>1900</v>
      </c>
      <c r="U14" s="163">
        <f t="shared" si="1"/>
        <v>0</v>
      </c>
      <c r="V14" s="163">
        <f t="shared" si="1"/>
        <v>400</v>
      </c>
      <c r="W14" s="163">
        <f t="shared" si="1"/>
        <v>2.71</v>
      </c>
      <c r="X14" s="163">
        <f t="shared" si="1"/>
        <v>0</v>
      </c>
      <c r="Y14" s="163">
        <f t="shared" si="1"/>
        <v>0</v>
      </c>
      <c r="Z14" s="163">
        <f t="shared" si="1"/>
        <v>0</v>
      </c>
      <c r="AA14" s="163">
        <f t="shared" si="1"/>
        <v>0</v>
      </c>
      <c r="AB14" s="163">
        <f t="shared" si="1"/>
        <v>0</v>
      </c>
      <c r="AC14" s="163">
        <f t="shared" si="1"/>
        <v>0</v>
      </c>
      <c r="AD14" s="163">
        <f t="shared" si="1"/>
        <v>440</v>
      </c>
      <c r="AE14" s="163">
        <f t="shared" si="1"/>
        <v>8.8</v>
      </c>
      <c r="AF14" s="686"/>
      <c r="AG14" s="686"/>
      <c r="AH14" s="686"/>
      <c r="AI14" s="686"/>
      <c r="AJ14" s="686"/>
    </row>
    <row r="15" spans="1:36" s="606" customFormat="1" ht="31.5">
      <c r="A15" s="809" t="s">
        <v>925</v>
      </c>
      <c r="B15" s="810" t="s">
        <v>1264</v>
      </c>
      <c r="C15" s="92" t="s">
        <v>1265</v>
      </c>
      <c r="D15" s="55"/>
      <c r="E15" s="55"/>
      <c r="F15" s="55"/>
      <c r="G15" s="103"/>
      <c r="H15" s="818">
        <v>3</v>
      </c>
      <c r="I15" s="818">
        <v>3</v>
      </c>
      <c r="J15" s="817">
        <v>3</v>
      </c>
      <c r="K15" s="1292">
        <v>0.15</v>
      </c>
      <c r="L15" s="811"/>
      <c r="M15" s="811"/>
      <c r="N15" s="811"/>
      <c r="O15" s="811"/>
      <c r="P15" s="55">
        <v>1</v>
      </c>
      <c r="Q15" s="55"/>
      <c r="R15" s="55">
        <v>1</v>
      </c>
      <c r="S15" s="103">
        <v>0.5</v>
      </c>
      <c r="T15" s="745">
        <v>346</v>
      </c>
      <c r="U15" s="745">
        <v>0</v>
      </c>
      <c r="V15" s="746">
        <v>360</v>
      </c>
      <c r="W15" s="745">
        <v>4.59</v>
      </c>
      <c r="X15" s="745"/>
      <c r="Y15" s="745"/>
      <c r="Z15" s="745"/>
      <c r="AA15" s="745"/>
      <c r="AB15" s="92">
        <v>30</v>
      </c>
      <c r="AC15" s="1198">
        <v>221</v>
      </c>
      <c r="AD15" s="2">
        <v>0</v>
      </c>
      <c r="AE15" s="2">
        <v>0</v>
      </c>
      <c r="AF15" s="811" t="s">
        <v>35</v>
      </c>
      <c r="AG15" s="33"/>
      <c r="AH15" s="33" t="s">
        <v>56</v>
      </c>
      <c r="AI15" s="33"/>
      <c r="AJ15" s="33"/>
    </row>
    <row r="16" spans="1:36" s="606" customFormat="1" ht="45">
      <c r="A16" s="821" t="s">
        <v>652</v>
      </c>
      <c r="B16" s="55" t="s">
        <v>653</v>
      </c>
      <c r="C16" s="145" t="s">
        <v>654</v>
      </c>
      <c r="D16" s="131"/>
      <c r="E16" s="131"/>
      <c r="F16" s="131"/>
      <c r="G16" s="9">
        <v>1.2</v>
      </c>
      <c r="H16" s="817">
        <v>0</v>
      </c>
      <c r="I16" s="817">
        <v>21</v>
      </c>
      <c r="J16" s="817" t="s">
        <v>610</v>
      </c>
      <c r="K16" s="1292"/>
      <c r="L16" s="145">
        <v>1</v>
      </c>
      <c r="M16" s="817">
        <v>66</v>
      </c>
      <c r="N16" s="817" t="s">
        <v>610</v>
      </c>
      <c r="O16" s="817">
        <v>0.45</v>
      </c>
      <c r="P16" s="817"/>
      <c r="Q16" s="817"/>
      <c r="R16" s="817"/>
      <c r="S16" s="822"/>
      <c r="T16" s="822"/>
      <c r="U16" s="822"/>
      <c r="V16" s="822"/>
      <c r="W16" s="822"/>
      <c r="X16" s="822"/>
      <c r="Y16" s="822"/>
      <c r="Z16" s="822"/>
      <c r="AA16" s="822"/>
      <c r="AB16" s="92">
        <v>80</v>
      </c>
      <c r="AC16" s="1249"/>
      <c r="AD16" s="2">
        <v>60</v>
      </c>
      <c r="AE16" s="2">
        <v>0.44</v>
      </c>
      <c r="AF16" s="91" t="s">
        <v>15</v>
      </c>
      <c r="AG16" s="68">
        <v>50</v>
      </c>
      <c r="AH16" s="2" t="s">
        <v>655</v>
      </c>
      <c r="AI16" s="145" t="s">
        <v>306</v>
      </c>
      <c r="AJ16" s="68" t="s">
        <v>656</v>
      </c>
    </row>
    <row r="17" spans="1:36" s="606" customFormat="1" ht="30" hidden="1">
      <c r="A17" s="823" t="s">
        <v>581</v>
      </c>
      <c r="B17" s="94" t="s">
        <v>582</v>
      </c>
      <c r="C17" s="94" t="s">
        <v>583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145" t="s">
        <v>584</v>
      </c>
      <c r="AG17" s="68" t="s">
        <v>1266</v>
      </c>
      <c r="AH17" s="145" t="s">
        <v>585</v>
      </c>
      <c r="AI17" s="145" t="s">
        <v>306</v>
      </c>
      <c r="AJ17" s="145" t="s">
        <v>586</v>
      </c>
    </row>
    <row r="18" spans="1:36" s="606" customFormat="1" ht="30">
      <c r="A18" s="823" t="s">
        <v>1267</v>
      </c>
      <c r="B18" s="94" t="s">
        <v>1268</v>
      </c>
      <c r="C18" s="94" t="s">
        <v>1269</v>
      </c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55">
        <v>1</v>
      </c>
      <c r="Q18" s="55"/>
      <c r="R18" s="55">
        <v>1</v>
      </c>
      <c r="S18" s="103">
        <v>0.5</v>
      </c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45" t="s">
        <v>15</v>
      </c>
      <c r="AG18" s="145">
        <v>1</v>
      </c>
      <c r="AH18" s="2" t="s">
        <v>610</v>
      </c>
      <c r="AI18" s="91" t="s">
        <v>306</v>
      </c>
      <c r="AJ18" s="161" t="s">
        <v>1175</v>
      </c>
    </row>
    <row r="19" spans="1:36" s="606" customFormat="1" ht="15.75">
      <c r="A19" s="823" t="s">
        <v>901</v>
      </c>
      <c r="B19" s="810" t="s">
        <v>1234</v>
      </c>
      <c r="C19" s="811" t="s">
        <v>311</v>
      </c>
      <c r="D19" s="811"/>
      <c r="E19" s="811"/>
      <c r="F19" s="811"/>
      <c r="G19" s="811"/>
      <c r="H19" s="811"/>
      <c r="I19" s="811"/>
      <c r="J19" s="811"/>
      <c r="K19" s="811"/>
      <c r="L19" s="824">
        <v>0</v>
      </c>
      <c r="M19" s="817">
        <v>0</v>
      </c>
      <c r="N19" s="817" t="s">
        <v>610</v>
      </c>
      <c r="O19" s="817">
        <v>0.1</v>
      </c>
      <c r="P19" s="811"/>
      <c r="Q19" s="811"/>
      <c r="R19" s="811"/>
      <c r="S19" s="811"/>
      <c r="T19" s="811"/>
      <c r="U19" s="811"/>
      <c r="V19" s="811"/>
      <c r="W19" s="811"/>
      <c r="X19" s="811"/>
      <c r="Y19" s="811"/>
      <c r="Z19" s="811"/>
      <c r="AA19" s="811"/>
      <c r="AB19" s="811"/>
      <c r="AC19" s="811"/>
      <c r="AD19" s="811"/>
      <c r="AE19" s="811"/>
      <c r="AF19" s="145"/>
      <c r="AG19" s="68"/>
      <c r="AH19" s="825" t="s">
        <v>13</v>
      </c>
      <c r="AI19" s="689" t="s">
        <v>306</v>
      </c>
      <c r="AJ19" s="814" t="s">
        <v>1235</v>
      </c>
    </row>
    <row r="20" spans="1:36" s="606" customFormat="1" ht="45">
      <c r="A20" s="835" t="s">
        <v>657</v>
      </c>
      <c r="B20" s="101" t="s">
        <v>658</v>
      </c>
      <c r="C20" s="55" t="s">
        <v>659</v>
      </c>
      <c r="D20" s="131"/>
      <c r="E20" s="131"/>
      <c r="F20" s="131"/>
      <c r="G20" s="9">
        <v>1.2</v>
      </c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91" t="s">
        <v>12</v>
      </c>
      <c r="AG20" s="91">
        <v>30</v>
      </c>
      <c r="AH20" s="145" t="s">
        <v>1270</v>
      </c>
      <c r="AI20" s="91"/>
      <c r="AJ20" s="91"/>
    </row>
    <row r="21" spans="1:36" ht="16.5" thickBot="1">
      <c r="A21" s="686"/>
      <c r="B21" s="1273" t="s">
        <v>14</v>
      </c>
      <c r="C21" s="1273"/>
      <c r="D21" s="163">
        <f aca="true" t="shared" si="2" ref="D21:AE21">SUM(D15:D20)</f>
        <v>0</v>
      </c>
      <c r="E21" s="163">
        <f t="shared" si="2"/>
        <v>0</v>
      </c>
      <c r="F21" s="163">
        <f t="shared" si="2"/>
        <v>0</v>
      </c>
      <c r="G21" s="163">
        <f t="shared" si="2"/>
        <v>2.4</v>
      </c>
      <c r="H21" s="163">
        <f t="shared" si="2"/>
        <v>3</v>
      </c>
      <c r="I21" s="163">
        <f t="shared" si="2"/>
        <v>24</v>
      </c>
      <c r="J21" s="163">
        <f t="shared" si="2"/>
        <v>3</v>
      </c>
      <c r="K21" s="163">
        <f t="shared" si="2"/>
        <v>0.15</v>
      </c>
      <c r="L21" s="163">
        <f t="shared" si="2"/>
        <v>1</v>
      </c>
      <c r="M21" s="163">
        <f t="shared" si="2"/>
        <v>66</v>
      </c>
      <c r="N21" s="163">
        <f t="shared" si="2"/>
        <v>0</v>
      </c>
      <c r="O21" s="163">
        <f t="shared" si="2"/>
        <v>0.55</v>
      </c>
      <c r="P21" s="163">
        <f t="shared" si="2"/>
        <v>2</v>
      </c>
      <c r="Q21" s="163">
        <f t="shared" si="2"/>
        <v>0</v>
      </c>
      <c r="R21" s="163">
        <f t="shared" si="2"/>
        <v>2</v>
      </c>
      <c r="S21" s="163">
        <f t="shared" si="2"/>
        <v>1</v>
      </c>
      <c r="T21" s="163">
        <f t="shared" si="2"/>
        <v>346</v>
      </c>
      <c r="U21" s="163">
        <f t="shared" si="2"/>
        <v>0</v>
      </c>
      <c r="V21" s="163">
        <f t="shared" si="2"/>
        <v>360</v>
      </c>
      <c r="W21" s="163">
        <f t="shared" si="2"/>
        <v>4.59</v>
      </c>
      <c r="X21" s="163">
        <f t="shared" si="2"/>
        <v>0</v>
      </c>
      <c r="Y21" s="163">
        <f t="shared" si="2"/>
        <v>0</v>
      </c>
      <c r="Z21" s="163">
        <f t="shared" si="2"/>
        <v>0</v>
      </c>
      <c r="AA21" s="163">
        <f t="shared" si="2"/>
        <v>0</v>
      </c>
      <c r="AB21" s="163">
        <f t="shared" si="2"/>
        <v>110</v>
      </c>
      <c r="AC21" s="163">
        <f t="shared" si="2"/>
        <v>221</v>
      </c>
      <c r="AD21" s="163">
        <f t="shared" si="2"/>
        <v>60</v>
      </c>
      <c r="AE21" s="163">
        <f t="shared" si="2"/>
        <v>0.44</v>
      </c>
      <c r="AF21" s="686"/>
      <c r="AG21" s="686"/>
      <c r="AH21" s="686"/>
      <c r="AI21" s="686"/>
      <c r="AJ21" s="686"/>
    </row>
    <row r="22" spans="1:36" ht="16.5" thickBot="1">
      <c r="A22" s="709"/>
      <c r="B22" s="1168" t="s">
        <v>17</v>
      </c>
      <c r="C22" s="1168"/>
      <c r="D22" s="164">
        <f aca="true" t="shared" si="3" ref="D22:AE22">SUM(D10,D14,D21)</f>
        <v>0</v>
      </c>
      <c r="E22" s="164">
        <f t="shared" si="3"/>
        <v>0</v>
      </c>
      <c r="F22" s="164">
        <f t="shared" si="3"/>
        <v>60</v>
      </c>
      <c r="G22" s="164">
        <f t="shared" si="3"/>
        <v>19.4</v>
      </c>
      <c r="H22" s="164">
        <f t="shared" si="3"/>
        <v>28</v>
      </c>
      <c r="I22" s="164">
        <f t="shared" si="3"/>
        <v>26</v>
      </c>
      <c r="J22" s="164">
        <f t="shared" si="3"/>
        <v>363</v>
      </c>
      <c r="K22" s="164">
        <f t="shared" si="3"/>
        <v>12.5</v>
      </c>
      <c r="L22" s="164">
        <f t="shared" si="3"/>
        <v>55</v>
      </c>
      <c r="M22" s="164">
        <f t="shared" si="3"/>
        <v>66</v>
      </c>
      <c r="N22" s="164">
        <f t="shared" si="3"/>
        <v>54</v>
      </c>
      <c r="O22" s="164">
        <f t="shared" si="3"/>
        <v>2.75</v>
      </c>
      <c r="P22" s="164">
        <f t="shared" si="3"/>
        <v>859</v>
      </c>
      <c r="Q22" s="164">
        <f t="shared" si="3"/>
        <v>0</v>
      </c>
      <c r="R22" s="164">
        <f t="shared" si="3"/>
        <v>784</v>
      </c>
      <c r="S22" s="164">
        <f t="shared" si="3"/>
        <v>3.35</v>
      </c>
      <c r="T22" s="164">
        <f t="shared" si="3"/>
        <v>2541</v>
      </c>
      <c r="U22" s="164">
        <f t="shared" si="3"/>
        <v>66</v>
      </c>
      <c r="V22" s="164">
        <f t="shared" si="3"/>
        <v>1070</v>
      </c>
      <c r="W22" s="164">
        <f t="shared" si="3"/>
        <v>24.150000000000002</v>
      </c>
      <c r="X22" s="164">
        <f t="shared" si="3"/>
        <v>0</v>
      </c>
      <c r="Y22" s="164">
        <f t="shared" si="3"/>
        <v>0</v>
      </c>
      <c r="Z22" s="164">
        <f t="shared" si="3"/>
        <v>0</v>
      </c>
      <c r="AA22" s="164">
        <f t="shared" si="3"/>
        <v>0</v>
      </c>
      <c r="AB22" s="164">
        <f t="shared" si="3"/>
        <v>250</v>
      </c>
      <c r="AC22" s="164">
        <f t="shared" si="3"/>
        <v>379</v>
      </c>
      <c r="AD22" s="164">
        <f t="shared" si="3"/>
        <v>725</v>
      </c>
      <c r="AE22" s="164">
        <f t="shared" si="3"/>
        <v>17.1</v>
      </c>
      <c r="AF22" s="710"/>
      <c r="AG22" s="710"/>
      <c r="AH22" s="710"/>
      <c r="AI22" s="710"/>
      <c r="AJ22" s="712"/>
    </row>
    <row r="23" ht="15.75">
      <c r="B23" s="19"/>
    </row>
  </sheetData>
  <sheetProtection/>
  <mergeCells count="37">
    <mergeCell ref="K15:K16"/>
    <mergeCell ref="AC15:AC16"/>
    <mergeCell ref="B21:C21"/>
    <mergeCell ref="B22:C22"/>
    <mergeCell ref="AG4:AG5"/>
    <mergeCell ref="AH4:AH5"/>
    <mergeCell ref="J4:K4"/>
    <mergeCell ref="L4:M4"/>
    <mergeCell ref="N4:O4"/>
    <mergeCell ref="P4:Q4"/>
    <mergeCell ref="AI4:AI5"/>
    <mergeCell ref="AJ4:AJ5"/>
    <mergeCell ref="B10:C10"/>
    <mergeCell ref="B14:C14"/>
    <mergeCell ref="V4:W4"/>
    <mergeCell ref="X4:Y4"/>
    <mergeCell ref="Z4:AA4"/>
    <mergeCell ref="AB4:AC4"/>
    <mergeCell ref="AD4:AE4"/>
    <mergeCell ref="AF4:AF5"/>
    <mergeCell ref="R4:S4"/>
    <mergeCell ref="T4:U4"/>
    <mergeCell ref="A4:A5"/>
    <mergeCell ref="B4:B5"/>
    <mergeCell ref="C4:C5"/>
    <mergeCell ref="D4:E4"/>
    <mergeCell ref="F4:G4"/>
    <mergeCell ref="H4:I4"/>
    <mergeCell ref="A1:AJ1"/>
    <mergeCell ref="A2:AJ2"/>
    <mergeCell ref="D3:G3"/>
    <mergeCell ref="H3:K3"/>
    <mergeCell ref="L3:O3"/>
    <mergeCell ref="P3:S3"/>
    <mergeCell ref="T3:W3"/>
    <mergeCell ref="X3:AA3"/>
    <mergeCell ref="AB3:AE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Z132"/>
  <sheetViews>
    <sheetView zoomScale="70" zoomScaleNormal="70" zoomScalePageLayoutView="0" workbookViewId="0" topLeftCell="A1">
      <selection activeCell="D6" sqref="D6"/>
    </sheetView>
  </sheetViews>
  <sheetFormatPr defaultColWidth="9.140625" defaultRowHeight="15"/>
  <cols>
    <col min="1" max="1" width="9.140625" style="314" customWidth="1"/>
    <col min="2" max="2" width="23.140625" style="18" customWidth="1"/>
    <col min="3" max="3" width="27.8515625" style="11" customWidth="1"/>
    <col min="4" max="5" width="5.00390625" style="11" customWidth="1"/>
    <col min="6" max="6" width="6.57421875" style="11" customWidth="1"/>
    <col min="7" max="13" width="5.00390625" style="11" customWidth="1"/>
    <col min="14" max="14" width="7.421875" style="11" customWidth="1"/>
    <col min="15" max="15" width="7.57421875" style="11" customWidth="1"/>
    <col min="16" max="16" width="5.7109375" style="11" customWidth="1"/>
    <col min="17" max="17" width="6.421875" style="11" customWidth="1"/>
    <col min="18" max="18" width="6.140625" style="11" customWidth="1"/>
    <col min="19" max="28" width="6.421875" style="11" customWidth="1"/>
    <col min="29" max="29" width="11.421875" style="11" customWidth="1"/>
    <col min="30" max="30" width="7.421875" style="11" customWidth="1"/>
    <col min="31" max="31" width="6.421875" style="11" customWidth="1"/>
    <col min="32" max="32" width="5.8515625" style="21" customWidth="1"/>
    <col min="33" max="33" width="6.421875" style="21" customWidth="1"/>
    <col min="34" max="34" width="6.57421875" style="21" customWidth="1"/>
    <col min="35" max="35" width="7.00390625" style="21" customWidth="1"/>
    <col min="36" max="36" width="9.00390625" style="21" customWidth="1"/>
    <col min="37" max="37" width="7.00390625" style="21" customWidth="1"/>
    <col min="38" max="38" width="8.00390625" style="21" customWidth="1"/>
    <col min="39" max="47" width="7.00390625" style="21" customWidth="1"/>
    <col min="48" max="48" width="9.8515625" style="24" customWidth="1"/>
    <col min="49" max="49" width="9.140625" style="21" customWidth="1"/>
    <col min="50" max="50" width="19.7109375" style="24" customWidth="1"/>
    <col min="51" max="51" width="9.140625" style="24" customWidth="1"/>
    <col min="52" max="52" width="30.7109375" style="24" customWidth="1"/>
    <col min="53" max="16384" width="9.140625" style="352" customWidth="1"/>
  </cols>
  <sheetData>
    <row r="1" spans="1:52" s="349" customFormat="1" ht="21" thickBot="1">
      <c r="A1" s="1162" t="s">
        <v>863</v>
      </c>
      <c r="B1" s="1163"/>
      <c r="C1" s="1163"/>
      <c r="D1" s="1163"/>
      <c r="E1" s="1163"/>
      <c r="F1" s="1163"/>
      <c r="G1" s="1163"/>
      <c r="H1" s="1163"/>
      <c r="I1" s="1163"/>
      <c r="J1" s="1163"/>
      <c r="K1" s="1163"/>
      <c r="L1" s="1163"/>
      <c r="M1" s="1163"/>
      <c r="N1" s="1163"/>
      <c r="O1" s="1163"/>
      <c r="P1" s="1163"/>
      <c r="Q1" s="1163"/>
      <c r="R1" s="1163"/>
      <c r="S1" s="1163"/>
      <c r="T1" s="1163"/>
      <c r="U1" s="1163"/>
      <c r="V1" s="1163"/>
      <c r="W1" s="1163"/>
      <c r="X1" s="1163"/>
      <c r="Y1" s="1163"/>
      <c r="Z1" s="1163"/>
      <c r="AA1" s="1163"/>
      <c r="AB1" s="1163"/>
      <c r="AC1" s="1163"/>
      <c r="AD1" s="1163"/>
      <c r="AE1" s="1163"/>
      <c r="AF1" s="1163"/>
      <c r="AG1" s="1163"/>
      <c r="AH1" s="1163"/>
      <c r="AI1" s="1163"/>
      <c r="AJ1" s="1163"/>
      <c r="AK1" s="1163"/>
      <c r="AL1" s="1163"/>
      <c r="AM1" s="1163"/>
      <c r="AN1" s="1163"/>
      <c r="AO1" s="1163"/>
      <c r="AP1" s="1163"/>
      <c r="AQ1" s="1163"/>
      <c r="AR1" s="1163"/>
      <c r="AS1" s="1163"/>
      <c r="AT1" s="1163"/>
      <c r="AU1" s="1163"/>
      <c r="AV1" s="1163"/>
      <c r="AW1" s="1163"/>
      <c r="AX1" s="1163"/>
      <c r="AY1" s="1163"/>
      <c r="AZ1" s="1164"/>
    </row>
    <row r="2" spans="1:52" s="197" customFormat="1" ht="16.5" thickBot="1">
      <c r="A2" s="1297" t="s">
        <v>550</v>
      </c>
      <c r="B2" s="1298"/>
      <c r="C2" s="1298"/>
      <c r="D2" s="1298"/>
      <c r="E2" s="1298"/>
      <c r="F2" s="1298"/>
      <c r="G2" s="1298"/>
      <c r="H2" s="1298"/>
      <c r="I2" s="1298"/>
      <c r="J2" s="1298"/>
      <c r="K2" s="1298"/>
      <c r="L2" s="1298"/>
      <c r="M2" s="1298"/>
      <c r="N2" s="1298"/>
      <c r="O2" s="1298"/>
      <c r="P2" s="1298"/>
      <c r="Q2" s="1298"/>
      <c r="R2" s="1298"/>
      <c r="S2" s="1298"/>
      <c r="T2" s="1298"/>
      <c r="U2" s="1298"/>
      <c r="V2" s="1298"/>
      <c r="W2" s="1298"/>
      <c r="X2" s="1298"/>
      <c r="Y2" s="1298"/>
      <c r="Z2" s="1298"/>
      <c r="AA2" s="1298"/>
      <c r="AB2" s="1298"/>
      <c r="AC2" s="1298"/>
      <c r="AD2" s="1298"/>
      <c r="AE2" s="1298"/>
      <c r="AF2" s="1298"/>
      <c r="AG2" s="1298"/>
      <c r="AH2" s="1298"/>
      <c r="AI2" s="1298"/>
      <c r="AJ2" s="1298"/>
      <c r="AK2" s="1298"/>
      <c r="AL2" s="1298"/>
      <c r="AM2" s="1298"/>
      <c r="AN2" s="1298"/>
      <c r="AO2" s="1298"/>
      <c r="AP2" s="1298"/>
      <c r="AQ2" s="1298"/>
      <c r="AR2" s="1298"/>
      <c r="AS2" s="1298"/>
      <c r="AT2" s="1298"/>
      <c r="AU2" s="1298"/>
      <c r="AV2" s="1298"/>
      <c r="AW2" s="1298"/>
      <c r="AX2" s="1298"/>
      <c r="AY2" s="1298"/>
      <c r="AZ2" s="1299"/>
    </row>
    <row r="3" spans="1:52" s="197" customFormat="1" ht="16.5" thickBot="1">
      <c r="A3" s="1293"/>
      <c r="B3" s="1141"/>
      <c r="C3" s="1141"/>
      <c r="D3" s="1140" t="s">
        <v>884</v>
      </c>
      <c r="E3" s="1141"/>
      <c r="F3" s="1141"/>
      <c r="G3" s="1142"/>
      <c r="H3" s="1140" t="s">
        <v>907</v>
      </c>
      <c r="I3" s="1141"/>
      <c r="J3" s="1141"/>
      <c r="K3" s="1142"/>
      <c r="L3" s="1140" t="s">
        <v>908</v>
      </c>
      <c r="M3" s="1141"/>
      <c r="N3" s="1141"/>
      <c r="O3" s="1142"/>
      <c r="P3" s="1140" t="s">
        <v>552</v>
      </c>
      <c r="Q3" s="1141"/>
      <c r="R3" s="1141"/>
      <c r="S3" s="1142"/>
      <c r="T3" s="1140" t="s">
        <v>633</v>
      </c>
      <c r="U3" s="1141"/>
      <c r="V3" s="1141"/>
      <c r="W3" s="1142"/>
      <c r="X3" s="1140" t="s">
        <v>916</v>
      </c>
      <c r="Y3" s="1141"/>
      <c r="Z3" s="1141"/>
      <c r="AA3" s="1142"/>
      <c r="AB3" s="1140" t="s">
        <v>676</v>
      </c>
      <c r="AC3" s="1141"/>
      <c r="AD3" s="1141"/>
      <c r="AE3" s="1142"/>
      <c r="AF3" s="1140" t="s">
        <v>1</v>
      </c>
      <c r="AG3" s="1141"/>
      <c r="AH3" s="1141"/>
      <c r="AI3" s="1142"/>
      <c r="AJ3" s="1140" t="s">
        <v>551</v>
      </c>
      <c r="AK3" s="1141"/>
      <c r="AL3" s="1141"/>
      <c r="AM3" s="1142"/>
      <c r="AN3" s="1140" t="s">
        <v>854</v>
      </c>
      <c r="AO3" s="1141"/>
      <c r="AP3" s="1141"/>
      <c r="AQ3" s="1142"/>
      <c r="AR3" s="1140" t="s">
        <v>947</v>
      </c>
      <c r="AS3" s="1141"/>
      <c r="AT3" s="1141"/>
      <c r="AU3" s="1142"/>
      <c r="AV3" s="1140"/>
      <c r="AW3" s="1141"/>
      <c r="AX3" s="1141"/>
      <c r="AY3" s="1141"/>
      <c r="AZ3" s="1294"/>
    </row>
    <row r="4" spans="1:52" s="197" customFormat="1" ht="15.75">
      <c r="A4" s="1275" t="s">
        <v>116</v>
      </c>
      <c r="B4" s="1051" t="s">
        <v>187</v>
      </c>
      <c r="C4" s="1051" t="s">
        <v>20</v>
      </c>
      <c r="D4" s="1117" t="s">
        <v>112</v>
      </c>
      <c r="E4" s="1117"/>
      <c r="F4" s="1117" t="s">
        <v>113</v>
      </c>
      <c r="G4" s="1117"/>
      <c r="H4" s="1117" t="s">
        <v>112</v>
      </c>
      <c r="I4" s="1117"/>
      <c r="J4" s="1117" t="s">
        <v>113</v>
      </c>
      <c r="K4" s="1117"/>
      <c r="L4" s="1117" t="s">
        <v>112</v>
      </c>
      <c r="M4" s="1117"/>
      <c r="N4" s="1117" t="s">
        <v>113</v>
      </c>
      <c r="O4" s="1117"/>
      <c r="P4" s="1117" t="s">
        <v>112</v>
      </c>
      <c r="Q4" s="1117"/>
      <c r="R4" s="1117" t="s">
        <v>113</v>
      </c>
      <c r="S4" s="1117"/>
      <c r="T4" s="1117" t="s">
        <v>112</v>
      </c>
      <c r="U4" s="1117"/>
      <c r="V4" s="1117" t="s">
        <v>113</v>
      </c>
      <c r="W4" s="1117"/>
      <c r="X4" s="1117" t="s">
        <v>112</v>
      </c>
      <c r="Y4" s="1117"/>
      <c r="Z4" s="1117" t="s">
        <v>113</v>
      </c>
      <c r="AA4" s="1117"/>
      <c r="AB4" s="1117" t="s">
        <v>112</v>
      </c>
      <c r="AC4" s="1117"/>
      <c r="AD4" s="1117" t="s">
        <v>113</v>
      </c>
      <c r="AE4" s="1117"/>
      <c r="AF4" s="1117" t="s">
        <v>112</v>
      </c>
      <c r="AG4" s="1117"/>
      <c r="AH4" s="1117" t="s">
        <v>113</v>
      </c>
      <c r="AI4" s="1117"/>
      <c r="AJ4" s="1117" t="s">
        <v>112</v>
      </c>
      <c r="AK4" s="1117"/>
      <c r="AL4" s="1117" t="s">
        <v>113</v>
      </c>
      <c r="AM4" s="1117"/>
      <c r="AN4" s="1117" t="s">
        <v>112</v>
      </c>
      <c r="AO4" s="1117"/>
      <c r="AP4" s="1117" t="s">
        <v>113</v>
      </c>
      <c r="AQ4" s="1117"/>
      <c r="AR4" s="1117" t="s">
        <v>112</v>
      </c>
      <c r="AS4" s="1117"/>
      <c r="AT4" s="1117" t="s">
        <v>113</v>
      </c>
      <c r="AU4" s="1117"/>
      <c r="AV4" s="1051" t="s">
        <v>4</v>
      </c>
      <c r="AW4" s="1051" t="s">
        <v>122</v>
      </c>
      <c r="AX4" s="1051" t="s">
        <v>5</v>
      </c>
      <c r="AY4" s="1051" t="s">
        <v>83</v>
      </c>
      <c r="AZ4" s="1300" t="s">
        <v>84</v>
      </c>
    </row>
    <row r="5" spans="1:52" s="197" customFormat="1" ht="98.25" thickBot="1">
      <c r="A5" s="1303"/>
      <c r="B5" s="1052"/>
      <c r="C5" s="1052"/>
      <c r="D5" s="350" t="s">
        <v>6</v>
      </c>
      <c r="E5" s="25" t="s">
        <v>7</v>
      </c>
      <c r="F5" s="25" t="s">
        <v>6</v>
      </c>
      <c r="G5" s="25" t="s">
        <v>188</v>
      </c>
      <c r="H5" s="350" t="s">
        <v>6</v>
      </c>
      <c r="I5" s="25" t="s">
        <v>7</v>
      </c>
      <c r="J5" s="25" t="s">
        <v>6</v>
      </c>
      <c r="K5" s="25" t="s">
        <v>188</v>
      </c>
      <c r="L5" s="350" t="s">
        <v>6</v>
      </c>
      <c r="M5" s="25" t="s">
        <v>7</v>
      </c>
      <c r="N5" s="25" t="s">
        <v>6</v>
      </c>
      <c r="O5" s="25" t="s">
        <v>188</v>
      </c>
      <c r="P5" s="350" t="s">
        <v>6</v>
      </c>
      <c r="Q5" s="25" t="s">
        <v>7</v>
      </c>
      <c r="R5" s="25" t="s">
        <v>6</v>
      </c>
      <c r="S5" s="25" t="s">
        <v>188</v>
      </c>
      <c r="T5" s="25" t="s">
        <v>6</v>
      </c>
      <c r="U5" s="25" t="s">
        <v>7</v>
      </c>
      <c r="V5" s="25" t="s">
        <v>6</v>
      </c>
      <c r="W5" s="25" t="s">
        <v>188</v>
      </c>
      <c r="X5" s="25" t="s">
        <v>6</v>
      </c>
      <c r="Y5" s="25" t="s">
        <v>7</v>
      </c>
      <c r="Z5" s="25" t="s">
        <v>6</v>
      </c>
      <c r="AA5" s="25" t="s">
        <v>188</v>
      </c>
      <c r="AB5" s="350" t="s">
        <v>6</v>
      </c>
      <c r="AC5" s="25" t="s">
        <v>7</v>
      </c>
      <c r="AD5" s="25" t="s">
        <v>6</v>
      </c>
      <c r="AE5" s="25" t="s">
        <v>188</v>
      </c>
      <c r="AF5" s="350" t="s">
        <v>6</v>
      </c>
      <c r="AG5" s="25" t="s">
        <v>7</v>
      </c>
      <c r="AH5" s="25" t="s">
        <v>6</v>
      </c>
      <c r="AI5" s="25" t="s">
        <v>188</v>
      </c>
      <c r="AJ5" s="350" t="s">
        <v>6</v>
      </c>
      <c r="AK5" s="25" t="s">
        <v>7</v>
      </c>
      <c r="AL5" s="25" t="s">
        <v>6</v>
      </c>
      <c r="AM5" s="25" t="s">
        <v>188</v>
      </c>
      <c r="AN5" s="350" t="s">
        <v>6</v>
      </c>
      <c r="AO5" s="25" t="s">
        <v>7</v>
      </c>
      <c r="AP5" s="25" t="s">
        <v>6</v>
      </c>
      <c r="AQ5" s="25" t="s">
        <v>188</v>
      </c>
      <c r="AR5" s="350" t="s">
        <v>6</v>
      </c>
      <c r="AS5" s="25" t="s">
        <v>7</v>
      </c>
      <c r="AT5" s="25" t="s">
        <v>6</v>
      </c>
      <c r="AU5" s="25" t="s">
        <v>188</v>
      </c>
      <c r="AV5" s="1052"/>
      <c r="AW5" s="1052"/>
      <c r="AX5" s="1052"/>
      <c r="AY5" s="1052"/>
      <c r="AZ5" s="1301"/>
    </row>
    <row r="6" spans="1:52" s="197" customFormat="1" ht="16.5" thickBot="1">
      <c r="A6" s="325" t="s">
        <v>876</v>
      </c>
      <c r="B6" s="325" t="s">
        <v>875</v>
      </c>
      <c r="C6" s="326" t="s">
        <v>874</v>
      </c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0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320"/>
      <c r="AC6" s="252"/>
      <c r="AD6" s="252"/>
      <c r="AE6" s="252"/>
      <c r="AF6" s="320"/>
      <c r="AG6" s="252"/>
      <c r="AH6" s="252"/>
      <c r="AI6" s="252"/>
      <c r="AJ6" s="320"/>
      <c r="AK6" s="252"/>
      <c r="AL6" s="252"/>
      <c r="AM6" s="101"/>
      <c r="AN6" s="101" t="s">
        <v>610</v>
      </c>
      <c r="AO6" s="101" t="s">
        <v>610</v>
      </c>
      <c r="AP6" s="101">
        <v>20</v>
      </c>
      <c r="AQ6" s="101">
        <v>1.5</v>
      </c>
      <c r="AR6" s="101"/>
      <c r="AS6" s="101"/>
      <c r="AT6" s="101"/>
      <c r="AU6" s="101"/>
      <c r="AV6" s="101" t="s">
        <v>274</v>
      </c>
      <c r="AW6" s="232">
        <v>20</v>
      </c>
      <c r="AX6" s="232" t="s">
        <v>610</v>
      </c>
      <c r="AY6" s="232" t="s">
        <v>610</v>
      </c>
      <c r="AZ6" s="321" t="s">
        <v>610</v>
      </c>
    </row>
    <row r="7" spans="1:52" s="197" customFormat="1" ht="15">
      <c r="A7" s="1304" t="s">
        <v>190</v>
      </c>
      <c r="B7" s="1302" t="s">
        <v>191</v>
      </c>
      <c r="C7" s="145" t="s">
        <v>22</v>
      </c>
      <c r="D7" s="145"/>
      <c r="E7" s="145"/>
      <c r="F7" s="68">
        <v>1</v>
      </c>
      <c r="G7" s="68">
        <v>0.67</v>
      </c>
      <c r="H7" s="68"/>
      <c r="I7" s="68"/>
      <c r="J7" s="68"/>
      <c r="K7" s="68"/>
      <c r="L7" s="68"/>
      <c r="M7" s="68"/>
      <c r="N7" s="68"/>
      <c r="O7" s="1308">
        <v>5</v>
      </c>
      <c r="P7" s="145"/>
      <c r="Q7" s="145"/>
      <c r="R7" s="91" t="s">
        <v>575</v>
      </c>
      <c r="S7" s="1040">
        <v>5</v>
      </c>
      <c r="T7" s="91"/>
      <c r="U7" s="91"/>
      <c r="V7" s="102">
        <v>50</v>
      </c>
      <c r="W7" s="102">
        <v>2</v>
      </c>
      <c r="X7" s="102"/>
      <c r="Y7" s="102"/>
      <c r="Z7" s="102"/>
      <c r="AA7" s="102"/>
      <c r="AB7" s="102"/>
      <c r="AC7" s="102"/>
      <c r="AD7" s="102"/>
      <c r="AE7" s="102"/>
      <c r="AF7" s="68"/>
      <c r="AG7" s="68"/>
      <c r="AH7" s="68">
        <v>240</v>
      </c>
      <c r="AI7" s="79">
        <v>11.06</v>
      </c>
      <c r="AJ7" s="101" t="s">
        <v>817</v>
      </c>
      <c r="AK7" s="101">
        <v>0</v>
      </c>
      <c r="AL7" s="101">
        <v>60</v>
      </c>
      <c r="AM7" s="101">
        <v>2.75</v>
      </c>
      <c r="AN7" s="101">
        <v>250</v>
      </c>
      <c r="AO7" s="101">
        <v>250</v>
      </c>
      <c r="AP7" s="101" t="s">
        <v>610</v>
      </c>
      <c r="AQ7" s="1295">
        <v>5</v>
      </c>
      <c r="AR7" s="328"/>
      <c r="AS7" s="328"/>
      <c r="AT7" s="328"/>
      <c r="AU7" s="1311">
        <v>6</v>
      </c>
      <c r="AV7" s="329" t="s">
        <v>589</v>
      </c>
      <c r="AW7" s="329">
        <v>20</v>
      </c>
      <c r="AX7" s="329" t="s">
        <v>578</v>
      </c>
      <c r="AY7" s="329" t="s">
        <v>306</v>
      </c>
      <c r="AZ7" s="121" t="s">
        <v>335</v>
      </c>
    </row>
    <row r="8" spans="1:52" s="197" customFormat="1" ht="15">
      <c r="A8" s="1305"/>
      <c r="B8" s="1302"/>
      <c r="C8" s="145" t="s">
        <v>596</v>
      </c>
      <c r="D8" s="145"/>
      <c r="E8" s="145"/>
      <c r="F8" s="68"/>
      <c r="G8" s="68"/>
      <c r="H8" s="68"/>
      <c r="I8" s="68"/>
      <c r="J8" s="68"/>
      <c r="K8" s="68"/>
      <c r="L8" s="68"/>
      <c r="M8" s="68"/>
      <c r="N8" s="68"/>
      <c r="O8" s="1309"/>
      <c r="P8" s="145"/>
      <c r="Q8" s="145"/>
      <c r="R8" s="91" t="s">
        <v>575</v>
      </c>
      <c r="S8" s="1041"/>
      <c r="T8" s="91"/>
      <c r="U8" s="91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68"/>
      <c r="AG8" s="68"/>
      <c r="AH8" s="68"/>
      <c r="AI8" s="79"/>
      <c r="AJ8" s="101"/>
      <c r="AK8" s="101"/>
      <c r="AL8" s="101"/>
      <c r="AM8" s="101"/>
      <c r="AN8" s="330"/>
      <c r="AO8" s="330"/>
      <c r="AP8" s="330"/>
      <c r="AQ8" s="1296"/>
      <c r="AR8" s="328"/>
      <c r="AS8" s="328"/>
      <c r="AT8" s="328"/>
      <c r="AU8" s="1296"/>
      <c r="AV8" s="329" t="s">
        <v>35</v>
      </c>
      <c r="AW8" s="329">
        <v>20</v>
      </c>
      <c r="AX8" s="329" t="s">
        <v>578</v>
      </c>
      <c r="AY8" s="329" t="s">
        <v>306</v>
      </c>
      <c r="AZ8" s="121" t="s">
        <v>335</v>
      </c>
    </row>
    <row r="9" spans="1:52" s="197" customFormat="1" ht="30">
      <c r="A9" s="1306"/>
      <c r="B9" s="1302"/>
      <c r="C9" s="145" t="s">
        <v>597</v>
      </c>
      <c r="D9" s="145"/>
      <c r="E9" s="145"/>
      <c r="F9" s="68"/>
      <c r="G9" s="68"/>
      <c r="H9" s="68"/>
      <c r="I9" s="68"/>
      <c r="J9" s="68"/>
      <c r="K9" s="68"/>
      <c r="L9" s="68"/>
      <c r="M9" s="68"/>
      <c r="N9" s="68"/>
      <c r="O9" s="1309"/>
      <c r="P9" s="145"/>
      <c r="Q9" s="145"/>
      <c r="R9" s="91" t="s">
        <v>575</v>
      </c>
      <c r="S9" s="1042"/>
      <c r="T9" s="91"/>
      <c r="U9" s="91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68"/>
      <c r="AG9" s="68"/>
      <c r="AH9" s="68"/>
      <c r="AI9" s="79"/>
      <c r="AJ9" s="101"/>
      <c r="AK9" s="101"/>
      <c r="AL9" s="101"/>
      <c r="AM9" s="101"/>
      <c r="AN9" s="330"/>
      <c r="AO9" s="330"/>
      <c r="AP9" s="330"/>
      <c r="AQ9" s="1296"/>
      <c r="AR9" s="328"/>
      <c r="AS9" s="328"/>
      <c r="AT9" s="328"/>
      <c r="AU9" s="1296"/>
      <c r="AV9" s="329" t="s">
        <v>23</v>
      </c>
      <c r="AW9" s="329">
        <v>30</v>
      </c>
      <c r="AX9" s="329" t="s">
        <v>578</v>
      </c>
      <c r="AY9" s="329" t="s">
        <v>306</v>
      </c>
      <c r="AZ9" s="121" t="s">
        <v>335</v>
      </c>
    </row>
    <row r="10" spans="1:52" s="197" customFormat="1" ht="45">
      <c r="A10" s="186" t="s">
        <v>249</v>
      </c>
      <c r="B10" s="1302"/>
      <c r="C10" s="145" t="s">
        <v>248</v>
      </c>
      <c r="D10" s="145"/>
      <c r="E10" s="145"/>
      <c r="F10" s="68"/>
      <c r="G10" s="68"/>
      <c r="H10" s="68"/>
      <c r="I10" s="68"/>
      <c r="J10" s="68"/>
      <c r="K10" s="68"/>
      <c r="L10" s="68"/>
      <c r="M10" s="68"/>
      <c r="N10" s="68"/>
      <c r="O10" s="1309"/>
      <c r="P10" s="145"/>
      <c r="Q10" s="145"/>
      <c r="R10" s="145"/>
      <c r="S10" s="145"/>
      <c r="T10" s="145"/>
      <c r="U10" s="145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68"/>
      <c r="AG10" s="68"/>
      <c r="AH10" s="68"/>
      <c r="AI10" s="79"/>
      <c r="AJ10" s="101" t="s">
        <v>819</v>
      </c>
      <c r="AK10" s="101">
        <v>0</v>
      </c>
      <c r="AL10" s="101">
        <v>18</v>
      </c>
      <c r="AM10" s="101">
        <v>0.35</v>
      </c>
      <c r="AN10" s="101">
        <v>200</v>
      </c>
      <c r="AO10" s="101">
        <v>150</v>
      </c>
      <c r="AP10" s="101" t="s">
        <v>610</v>
      </c>
      <c r="AQ10" s="1296"/>
      <c r="AR10" s="328"/>
      <c r="AS10" s="328"/>
      <c r="AT10" s="328"/>
      <c r="AU10" s="1296"/>
      <c r="AV10" s="329"/>
      <c r="AW10" s="329"/>
      <c r="AX10" s="329"/>
      <c r="AY10" s="329"/>
      <c r="AZ10" s="121"/>
    </row>
    <row r="11" spans="1:52" s="197" customFormat="1" ht="45">
      <c r="A11" s="186" t="s">
        <v>251</v>
      </c>
      <c r="B11" s="1302"/>
      <c r="C11" s="101" t="s">
        <v>250</v>
      </c>
      <c r="D11" s="101"/>
      <c r="E11" s="101"/>
      <c r="F11" s="68"/>
      <c r="G11" s="68"/>
      <c r="H11" s="68"/>
      <c r="I11" s="68"/>
      <c r="J11" s="68"/>
      <c r="K11" s="68"/>
      <c r="L11" s="68"/>
      <c r="M11" s="68"/>
      <c r="N11" s="68"/>
      <c r="O11" s="1309"/>
      <c r="P11" s="101"/>
      <c r="Q11" s="101"/>
      <c r="R11" s="101"/>
      <c r="S11" s="101"/>
      <c r="T11" s="101"/>
      <c r="U11" s="101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68"/>
      <c r="AG11" s="68"/>
      <c r="AH11" s="68">
        <v>390</v>
      </c>
      <c r="AI11" s="79">
        <v>3.46</v>
      </c>
      <c r="AJ11" s="101" t="s">
        <v>779</v>
      </c>
      <c r="AK11" s="101">
        <v>0</v>
      </c>
      <c r="AL11" s="101">
        <v>60</v>
      </c>
      <c r="AM11" s="101">
        <v>0.69</v>
      </c>
      <c r="AN11" s="101" t="s">
        <v>610</v>
      </c>
      <c r="AO11" s="101" t="s">
        <v>610</v>
      </c>
      <c r="AP11" s="101" t="s">
        <v>610</v>
      </c>
      <c r="AQ11" s="1296"/>
      <c r="AR11" s="331"/>
      <c r="AS11" s="331"/>
      <c r="AT11" s="331"/>
      <c r="AU11" s="1296"/>
      <c r="AV11" s="68" t="s">
        <v>35</v>
      </c>
      <c r="AW11" s="145">
        <v>30</v>
      </c>
      <c r="AX11" s="68" t="s">
        <v>311</v>
      </c>
      <c r="AY11" s="68" t="s">
        <v>306</v>
      </c>
      <c r="AZ11" s="121" t="s">
        <v>335</v>
      </c>
    </row>
    <row r="12" spans="1:52" s="197" customFormat="1" ht="45">
      <c r="A12" s="296" t="s">
        <v>258</v>
      </c>
      <c r="B12" s="1302"/>
      <c r="C12" s="101" t="s">
        <v>252</v>
      </c>
      <c r="D12" s="101"/>
      <c r="E12" s="101"/>
      <c r="F12" s="68">
        <v>3</v>
      </c>
      <c r="G12" s="68">
        <v>1.85</v>
      </c>
      <c r="H12" s="68"/>
      <c r="I12" s="68"/>
      <c r="J12" s="68"/>
      <c r="K12" s="68"/>
      <c r="L12" s="68"/>
      <c r="M12" s="68"/>
      <c r="N12" s="68"/>
      <c r="O12" s="1309"/>
      <c r="P12" s="101"/>
      <c r="Q12" s="101"/>
      <c r="R12" s="101"/>
      <c r="S12" s="101"/>
      <c r="T12" s="101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68"/>
      <c r="AG12" s="68"/>
      <c r="AH12" s="68"/>
      <c r="AI12" s="79"/>
      <c r="AJ12" s="101" t="s">
        <v>779</v>
      </c>
      <c r="AK12" s="101">
        <v>0</v>
      </c>
      <c r="AL12" s="101">
        <v>60</v>
      </c>
      <c r="AM12" s="101">
        <v>0.81</v>
      </c>
      <c r="AN12" s="101" t="s">
        <v>610</v>
      </c>
      <c r="AO12" s="101" t="s">
        <v>610</v>
      </c>
      <c r="AP12" s="101" t="s">
        <v>610</v>
      </c>
      <c r="AQ12" s="1296"/>
      <c r="AR12" s="331"/>
      <c r="AS12" s="331"/>
      <c r="AT12" s="331"/>
      <c r="AU12" s="1296"/>
      <c r="AV12" s="68"/>
      <c r="AW12" s="68"/>
      <c r="AX12" s="68"/>
      <c r="AY12" s="68"/>
      <c r="AZ12" s="121"/>
    </row>
    <row r="13" spans="1:52" s="197" customFormat="1" ht="45">
      <c r="A13" s="296" t="s">
        <v>259</v>
      </c>
      <c r="B13" s="1302"/>
      <c r="C13" s="101" t="s">
        <v>253</v>
      </c>
      <c r="D13" s="101"/>
      <c r="E13" s="101"/>
      <c r="F13" s="68">
        <v>1</v>
      </c>
      <c r="G13" s="68">
        <v>1.48</v>
      </c>
      <c r="H13" s="68"/>
      <c r="I13" s="68"/>
      <c r="J13" s="68"/>
      <c r="K13" s="68"/>
      <c r="L13" s="68"/>
      <c r="M13" s="68"/>
      <c r="N13" s="68"/>
      <c r="O13" s="1309"/>
      <c r="P13" s="101"/>
      <c r="Q13" s="101"/>
      <c r="R13" s="101"/>
      <c r="S13" s="101"/>
      <c r="T13" s="101"/>
      <c r="U13" s="101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68"/>
      <c r="AG13" s="68"/>
      <c r="AH13" s="68">
        <v>31</v>
      </c>
      <c r="AI13" s="79">
        <v>4.26</v>
      </c>
      <c r="AJ13" s="101" t="s">
        <v>779</v>
      </c>
      <c r="AK13" s="101">
        <v>0</v>
      </c>
      <c r="AL13" s="101">
        <v>33</v>
      </c>
      <c r="AM13" s="101">
        <v>0.46</v>
      </c>
      <c r="AN13" s="101" t="s">
        <v>610</v>
      </c>
      <c r="AO13" s="101" t="s">
        <v>610</v>
      </c>
      <c r="AP13" s="101" t="s">
        <v>610</v>
      </c>
      <c r="AQ13" s="1296"/>
      <c r="AR13" s="331"/>
      <c r="AS13" s="331"/>
      <c r="AT13" s="331"/>
      <c r="AU13" s="1296"/>
      <c r="AV13" s="68" t="s">
        <v>35</v>
      </c>
      <c r="AW13" s="145">
        <v>30</v>
      </c>
      <c r="AX13" s="68" t="s">
        <v>13</v>
      </c>
      <c r="AY13" s="68" t="s">
        <v>306</v>
      </c>
      <c r="AZ13" s="121" t="s">
        <v>335</v>
      </c>
    </row>
    <row r="14" spans="1:52" s="197" customFormat="1" ht="45">
      <c r="A14" s="296" t="s">
        <v>260</v>
      </c>
      <c r="B14" s="1302"/>
      <c r="C14" s="145" t="s">
        <v>254</v>
      </c>
      <c r="D14" s="145"/>
      <c r="E14" s="145"/>
      <c r="F14" s="68"/>
      <c r="G14" s="68"/>
      <c r="H14" s="68"/>
      <c r="I14" s="68"/>
      <c r="J14" s="68"/>
      <c r="K14" s="68"/>
      <c r="L14" s="68"/>
      <c r="M14" s="68"/>
      <c r="N14" s="68"/>
      <c r="O14" s="1309"/>
      <c r="P14" s="145"/>
      <c r="Q14" s="145"/>
      <c r="R14" s="145"/>
      <c r="S14" s="145"/>
      <c r="T14" s="145"/>
      <c r="U14" s="145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68"/>
      <c r="AG14" s="68"/>
      <c r="AH14" s="68"/>
      <c r="AI14" s="79"/>
      <c r="AJ14" s="101" t="s">
        <v>779</v>
      </c>
      <c r="AK14" s="101">
        <v>0</v>
      </c>
      <c r="AL14" s="101">
        <v>33</v>
      </c>
      <c r="AM14" s="101">
        <v>0.92</v>
      </c>
      <c r="AN14" s="101" t="s">
        <v>610</v>
      </c>
      <c r="AO14" s="101" t="s">
        <v>610</v>
      </c>
      <c r="AP14" s="101" t="s">
        <v>610</v>
      </c>
      <c r="AQ14" s="1296"/>
      <c r="AR14" s="331"/>
      <c r="AS14" s="331"/>
      <c r="AT14" s="331"/>
      <c r="AU14" s="1296"/>
      <c r="AV14" s="68"/>
      <c r="AW14" s="68"/>
      <c r="AX14" s="68"/>
      <c r="AY14" s="68"/>
      <c r="AZ14" s="121"/>
    </row>
    <row r="15" spans="1:52" s="197" customFormat="1" ht="15.75">
      <c r="A15" s="296" t="s">
        <v>261</v>
      </c>
      <c r="B15" s="1302"/>
      <c r="C15" s="145" t="s">
        <v>255</v>
      </c>
      <c r="D15" s="145"/>
      <c r="E15" s="145"/>
      <c r="F15" s="68"/>
      <c r="G15" s="68"/>
      <c r="H15" s="68"/>
      <c r="I15" s="68"/>
      <c r="J15" s="68"/>
      <c r="K15" s="68"/>
      <c r="L15" s="68"/>
      <c r="M15" s="68"/>
      <c r="N15" s="68"/>
      <c r="O15" s="1309"/>
      <c r="P15" s="145"/>
      <c r="Q15" s="145"/>
      <c r="R15" s="145"/>
      <c r="S15" s="145"/>
      <c r="T15" s="145"/>
      <c r="U15" s="145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68"/>
      <c r="AG15" s="68"/>
      <c r="AH15" s="68"/>
      <c r="AI15" s="79"/>
      <c r="AJ15" s="79"/>
      <c r="AK15" s="79"/>
      <c r="AL15" s="79"/>
      <c r="AM15" s="79"/>
      <c r="AN15" s="101" t="s">
        <v>610</v>
      </c>
      <c r="AO15" s="101" t="s">
        <v>610</v>
      </c>
      <c r="AP15" s="101" t="s">
        <v>610</v>
      </c>
      <c r="AQ15" s="1296"/>
      <c r="AR15" s="331"/>
      <c r="AS15" s="331"/>
      <c r="AT15" s="331"/>
      <c r="AU15" s="1296"/>
      <c r="AV15" s="68"/>
      <c r="AW15" s="68"/>
      <c r="AX15" s="68"/>
      <c r="AY15" s="68"/>
      <c r="AZ15" s="121"/>
    </row>
    <row r="16" spans="1:52" s="197" customFormat="1" ht="30">
      <c r="A16" s="296" t="s">
        <v>262</v>
      </c>
      <c r="B16" s="1302"/>
      <c r="C16" s="145" t="s">
        <v>256</v>
      </c>
      <c r="D16" s="145"/>
      <c r="E16" s="145"/>
      <c r="F16" s="68">
        <v>30</v>
      </c>
      <c r="G16" s="68">
        <v>6</v>
      </c>
      <c r="H16" s="68"/>
      <c r="I16" s="68"/>
      <c r="J16" s="68"/>
      <c r="K16" s="68"/>
      <c r="L16" s="68"/>
      <c r="M16" s="68"/>
      <c r="N16" s="68"/>
      <c r="O16" s="1309"/>
      <c r="P16" s="145"/>
      <c r="Q16" s="145"/>
      <c r="R16" s="145"/>
      <c r="S16" s="145"/>
      <c r="T16" s="145"/>
      <c r="U16" s="145"/>
      <c r="V16" s="102"/>
      <c r="W16" s="102"/>
      <c r="X16" s="102"/>
      <c r="Y16" s="102"/>
      <c r="Z16" s="102"/>
      <c r="AA16" s="102"/>
      <c r="AB16" s="203">
        <v>284</v>
      </c>
      <c r="AC16" s="204" t="s">
        <v>704</v>
      </c>
      <c r="AD16" s="112"/>
      <c r="AE16" s="203">
        <v>6.19</v>
      </c>
      <c r="AF16" s="68"/>
      <c r="AG16" s="68"/>
      <c r="AH16" s="68">
        <v>480</v>
      </c>
      <c r="AI16" s="79">
        <v>1.22</v>
      </c>
      <c r="AJ16" s="79"/>
      <c r="AK16" s="79"/>
      <c r="AL16" s="79"/>
      <c r="AM16" s="79"/>
      <c r="AN16" s="101" t="s">
        <v>610</v>
      </c>
      <c r="AO16" s="101" t="s">
        <v>610</v>
      </c>
      <c r="AP16" s="101" t="s">
        <v>610</v>
      </c>
      <c r="AQ16" s="101">
        <v>6.19</v>
      </c>
      <c r="AR16" s="101"/>
      <c r="AS16" s="101"/>
      <c r="AT16" s="101"/>
      <c r="AU16" s="1312"/>
      <c r="AV16" s="68" t="s">
        <v>35</v>
      </c>
      <c r="AW16" s="145" t="s">
        <v>861</v>
      </c>
      <c r="AX16" s="68" t="s">
        <v>311</v>
      </c>
      <c r="AY16" s="68" t="s">
        <v>306</v>
      </c>
      <c r="AZ16" s="121" t="s">
        <v>335</v>
      </c>
    </row>
    <row r="17" spans="1:52" s="197" customFormat="1" ht="15.75">
      <c r="A17" s="186" t="s">
        <v>263</v>
      </c>
      <c r="B17" s="1302"/>
      <c r="C17" s="145" t="s">
        <v>257</v>
      </c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310"/>
      <c r="P17" s="145"/>
      <c r="Q17" s="145"/>
      <c r="R17" s="145"/>
      <c r="S17" s="145"/>
      <c r="T17" s="145"/>
      <c r="U17" s="145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68"/>
      <c r="AG17" s="68"/>
      <c r="AH17" s="68"/>
      <c r="AI17" s="79"/>
      <c r="AJ17" s="79"/>
      <c r="AK17" s="79"/>
      <c r="AL17" s="79"/>
      <c r="AM17" s="79"/>
      <c r="AN17" s="101" t="s">
        <v>610</v>
      </c>
      <c r="AO17" s="101" t="s">
        <v>610</v>
      </c>
      <c r="AP17" s="101" t="s">
        <v>610</v>
      </c>
      <c r="AQ17" s="101" t="s">
        <v>610</v>
      </c>
      <c r="AR17" s="101"/>
      <c r="AS17" s="101"/>
      <c r="AT17" s="101"/>
      <c r="AU17" s="101"/>
      <c r="AV17" s="68"/>
      <c r="AW17" s="68"/>
      <c r="AX17" s="68"/>
      <c r="AY17" s="68"/>
      <c r="AZ17" s="121"/>
    </row>
    <row r="18" spans="1:52" s="197" customFormat="1" ht="60">
      <c r="A18" s="186" t="s">
        <v>712</v>
      </c>
      <c r="B18" s="1304" t="s">
        <v>713</v>
      </c>
      <c r="C18" s="145" t="s">
        <v>714</v>
      </c>
      <c r="D18" s="145"/>
      <c r="E18" s="145"/>
      <c r="F18" s="145">
        <v>8820</v>
      </c>
      <c r="G18" s="145">
        <v>50</v>
      </c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8"/>
      <c r="T18" s="148"/>
      <c r="U18" s="148"/>
      <c r="V18" s="104"/>
      <c r="W18" s="104"/>
      <c r="X18" s="104"/>
      <c r="Y18" s="104"/>
      <c r="Z18" s="104"/>
      <c r="AA18" s="104"/>
      <c r="AB18" s="1315">
        <v>2000</v>
      </c>
      <c r="AC18" s="1316" t="s">
        <v>704</v>
      </c>
      <c r="AD18" s="203">
        <f>262*30</f>
        <v>7860</v>
      </c>
      <c r="AE18" s="203">
        <v>74.25</v>
      </c>
      <c r="AF18" s="68"/>
      <c r="AG18" s="68"/>
      <c r="AH18" s="68"/>
      <c r="AI18" s="79"/>
      <c r="AJ18" s="79"/>
      <c r="AK18" s="79"/>
      <c r="AL18" s="79"/>
      <c r="AM18" s="79"/>
      <c r="AN18" s="101"/>
      <c r="AO18" s="101"/>
      <c r="AP18" s="101"/>
      <c r="AQ18" s="79"/>
      <c r="AR18" s="79"/>
      <c r="AS18" s="79"/>
      <c r="AT18" s="79"/>
      <c r="AU18" s="79">
        <v>12</v>
      </c>
      <c r="AV18" s="204" t="s">
        <v>35</v>
      </c>
      <c r="AW18" s="141" t="s">
        <v>719</v>
      </c>
      <c r="AX18" s="112" t="s">
        <v>720</v>
      </c>
      <c r="AY18" s="204" t="s">
        <v>306</v>
      </c>
      <c r="AZ18" s="332" t="s">
        <v>306</v>
      </c>
    </row>
    <row r="19" spans="1:52" s="197" customFormat="1" ht="60">
      <c r="A19" s="186" t="s">
        <v>715</v>
      </c>
      <c r="B19" s="1305"/>
      <c r="C19" s="145" t="s">
        <v>716</v>
      </c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8"/>
      <c r="T19" s="148"/>
      <c r="U19" s="148"/>
      <c r="V19" s="104"/>
      <c r="W19" s="104"/>
      <c r="X19" s="104"/>
      <c r="Y19" s="104"/>
      <c r="Z19" s="104"/>
      <c r="AA19" s="104"/>
      <c r="AB19" s="1315"/>
      <c r="AC19" s="1316"/>
      <c r="AD19" s="203">
        <v>90</v>
      </c>
      <c r="AE19" s="203">
        <v>14.75</v>
      </c>
      <c r="AF19" s="68"/>
      <c r="AG19" s="68"/>
      <c r="AH19" s="68"/>
      <c r="AI19" s="79"/>
      <c r="AJ19" s="79"/>
      <c r="AK19" s="79"/>
      <c r="AL19" s="79"/>
      <c r="AM19" s="79"/>
      <c r="AN19" s="101"/>
      <c r="AO19" s="101"/>
      <c r="AP19" s="101"/>
      <c r="AQ19" s="79"/>
      <c r="AR19" s="79"/>
      <c r="AS19" s="79"/>
      <c r="AT19" s="79"/>
      <c r="AU19" s="79"/>
      <c r="AV19" s="204" t="s">
        <v>35</v>
      </c>
      <c r="AW19" s="141" t="s">
        <v>719</v>
      </c>
      <c r="AX19" s="112" t="s">
        <v>720</v>
      </c>
      <c r="AY19" s="204" t="s">
        <v>306</v>
      </c>
      <c r="AZ19" s="332" t="s">
        <v>306</v>
      </c>
    </row>
    <row r="20" spans="1:52" s="197" customFormat="1" ht="15.75">
      <c r="A20" s="186" t="s">
        <v>964</v>
      </c>
      <c r="B20" s="1305"/>
      <c r="C20" s="333" t="s">
        <v>965</v>
      </c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8"/>
      <c r="T20" s="148"/>
      <c r="U20" s="148"/>
      <c r="V20" s="104"/>
      <c r="W20" s="104"/>
      <c r="X20" s="104"/>
      <c r="Y20" s="104"/>
      <c r="Z20" s="104"/>
      <c r="AA20" s="104"/>
      <c r="AB20" s="1315"/>
      <c r="AC20" s="1316"/>
      <c r="AD20" s="203"/>
      <c r="AE20" s="203"/>
      <c r="AF20" s="68"/>
      <c r="AG20" s="68"/>
      <c r="AH20" s="68"/>
      <c r="AI20" s="79"/>
      <c r="AJ20" s="79"/>
      <c r="AK20" s="79"/>
      <c r="AL20" s="79"/>
      <c r="AM20" s="79"/>
      <c r="AN20" s="101"/>
      <c r="AO20" s="101"/>
      <c r="AP20" s="101"/>
      <c r="AQ20" s="79"/>
      <c r="AR20" s="334">
        <v>1</v>
      </c>
      <c r="AS20" s="334">
        <v>1</v>
      </c>
      <c r="AT20" s="335" t="s">
        <v>610</v>
      </c>
      <c r="AU20" s="334">
        <v>1</v>
      </c>
      <c r="AV20" s="204"/>
      <c r="AW20" s="141"/>
      <c r="AX20" s="112"/>
      <c r="AY20" s="204"/>
      <c r="AZ20" s="332"/>
    </row>
    <row r="21" spans="1:52" s="197" customFormat="1" ht="75">
      <c r="A21" s="186" t="s">
        <v>717</v>
      </c>
      <c r="B21" s="1306"/>
      <c r="C21" s="145" t="s">
        <v>718</v>
      </c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8"/>
      <c r="T21" s="148"/>
      <c r="U21" s="148"/>
      <c r="V21" s="148"/>
      <c r="W21" s="148"/>
      <c r="X21" s="148"/>
      <c r="Y21" s="148"/>
      <c r="Z21" s="148"/>
      <c r="AA21" s="148"/>
      <c r="AB21" s="1315"/>
      <c r="AC21" s="1316"/>
      <c r="AD21" s="203">
        <f>57*30</f>
        <v>1710</v>
      </c>
      <c r="AE21" s="203">
        <v>31.72</v>
      </c>
      <c r="AF21" s="68"/>
      <c r="AG21" s="68"/>
      <c r="AH21" s="68"/>
      <c r="AI21" s="79"/>
      <c r="AJ21" s="79"/>
      <c r="AK21" s="79"/>
      <c r="AL21" s="79"/>
      <c r="AM21" s="79"/>
      <c r="AN21" s="101"/>
      <c r="AO21" s="101"/>
      <c r="AP21" s="101"/>
      <c r="AQ21" s="79"/>
      <c r="AR21" s="79"/>
      <c r="AS21" s="79"/>
      <c r="AT21" s="79"/>
      <c r="AU21" s="79"/>
      <c r="AV21" s="204" t="s">
        <v>35</v>
      </c>
      <c r="AW21" s="141" t="s">
        <v>719</v>
      </c>
      <c r="AX21" s="112" t="s">
        <v>720</v>
      </c>
      <c r="AY21" s="204" t="s">
        <v>306</v>
      </c>
      <c r="AZ21" s="332" t="s">
        <v>306</v>
      </c>
    </row>
    <row r="22" spans="1:52" s="197" customFormat="1" ht="45" customHeight="1">
      <c r="A22" s="322" t="s">
        <v>722</v>
      </c>
      <c r="B22" s="1307" t="s">
        <v>723</v>
      </c>
      <c r="C22" s="145" t="s">
        <v>724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031">
        <v>240</v>
      </c>
      <c r="O22" s="1057">
        <v>13.44</v>
      </c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>
        <v>88</v>
      </c>
      <c r="AC22" s="145" t="s">
        <v>704</v>
      </c>
      <c r="AD22" s="145">
        <f>AH22*30</f>
        <v>0</v>
      </c>
      <c r="AE22" s="145">
        <v>2.69</v>
      </c>
      <c r="AF22" s="145"/>
      <c r="AG22" s="145"/>
      <c r="AH22" s="145"/>
      <c r="AI22" s="145"/>
      <c r="AJ22" s="145" t="s">
        <v>779</v>
      </c>
      <c r="AK22" s="145">
        <v>0</v>
      </c>
      <c r="AL22" s="145" t="s">
        <v>818</v>
      </c>
      <c r="AM22" s="145">
        <v>12</v>
      </c>
      <c r="AN22" s="145"/>
      <c r="AO22" s="145"/>
      <c r="AP22" s="145"/>
      <c r="AQ22" s="145"/>
      <c r="AR22" s="145"/>
      <c r="AS22" s="145"/>
      <c r="AT22" s="145"/>
      <c r="AU22" s="334">
        <v>1.38</v>
      </c>
      <c r="AV22" s="145" t="s">
        <v>35</v>
      </c>
      <c r="AW22" s="145" t="s">
        <v>719</v>
      </c>
      <c r="AX22" s="145" t="s">
        <v>733</v>
      </c>
      <c r="AY22" s="145" t="s">
        <v>306</v>
      </c>
      <c r="AZ22" s="116" t="s">
        <v>306</v>
      </c>
    </row>
    <row r="23" spans="1:52" s="197" customFormat="1" ht="15.75">
      <c r="A23" s="322" t="s">
        <v>725</v>
      </c>
      <c r="B23" s="1307"/>
      <c r="C23" s="145" t="s">
        <v>726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032"/>
      <c r="O23" s="1058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>
        <f>AH23*30</f>
        <v>0</v>
      </c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 t="s">
        <v>35</v>
      </c>
      <c r="AW23" s="145" t="s">
        <v>719</v>
      </c>
      <c r="AX23" s="145"/>
      <c r="AY23" s="145" t="s">
        <v>306</v>
      </c>
      <c r="AZ23" s="116" t="s">
        <v>306</v>
      </c>
    </row>
    <row r="24" spans="1:52" s="197" customFormat="1" ht="45">
      <c r="A24" s="322" t="s">
        <v>820</v>
      </c>
      <c r="B24" s="1307"/>
      <c r="C24" s="145" t="s">
        <v>822</v>
      </c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032"/>
      <c r="O24" s="1058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 t="s">
        <v>779</v>
      </c>
      <c r="AK24" s="145">
        <v>0</v>
      </c>
      <c r="AL24" s="145" t="s">
        <v>821</v>
      </c>
      <c r="AM24" s="145">
        <v>37.5</v>
      </c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16"/>
    </row>
    <row r="25" spans="1:52" s="197" customFormat="1" ht="30">
      <c r="A25" s="322" t="s">
        <v>727</v>
      </c>
      <c r="B25" s="1307"/>
      <c r="C25" s="145" t="s">
        <v>728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032"/>
      <c r="O25" s="1058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>
        <f>AH25*30</f>
        <v>0</v>
      </c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 t="s">
        <v>35</v>
      </c>
      <c r="AW25" s="145" t="s">
        <v>719</v>
      </c>
      <c r="AX25" s="145"/>
      <c r="AY25" s="145" t="s">
        <v>306</v>
      </c>
      <c r="AZ25" s="116" t="s">
        <v>306</v>
      </c>
    </row>
    <row r="26" spans="1:52" s="197" customFormat="1" ht="30">
      <c r="A26" s="322" t="s">
        <v>729</v>
      </c>
      <c r="B26" s="1307"/>
      <c r="C26" s="145" t="s">
        <v>730</v>
      </c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032"/>
      <c r="O26" s="1058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>
        <f>AH26*30</f>
        <v>0</v>
      </c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 t="s">
        <v>35</v>
      </c>
      <c r="AW26" s="145" t="s">
        <v>719</v>
      </c>
      <c r="AX26" s="145"/>
      <c r="AY26" s="145" t="s">
        <v>306</v>
      </c>
      <c r="AZ26" s="116" t="s">
        <v>306</v>
      </c>
    </row>
    <row r="27" spans="1:52" s="197" customFormat="1" ht="30">
      <c r="A27" s="322" t="s">
        <v>731</v>
      </c>
      <c r="B27" s="1307"/>
      <c r="C27" s="145" t="s">
        <v>732</v>
      </c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033"/>
      <c r="O27" s="1059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>
        <f>AH27*30</f>
        <v>0</v>
      </c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 t="s">
        <v>35</v>
      </c>
      <c r="AW27" s="145" t="s">
        <v>719</v>
      </c>
      <c r="AX27" s="145"/>
      <c r="AY27" s="145" t="s">
        <v>306</v>
      </c>
      <c r="AZ27" s="116" t="s">
        <v>306</v>
      </c>
    </row>
    <row r="28" spans="1:52" s="197" customFormat="1" ht="15.75">
      <c r="A28" s="323"/>
      <c r="B28" s="324" t="s">
        <v>944</v>
      </c>
      <c r="C28" s="145" t="s">
        <v>945</v>
      </c>
      <c r="D28" s="145"/>
      <c r="E28" s="145"/>
      <c r="F28" s="145"/>
      <c r="G28" s="148"/>
      <c r="H28" s="148"/>
      <c r="I28" s="148"/>
      <c r="J28" s="148"/>
      <c r="K28" s="148"/>
      <c r="L28" s="148"/>
      <c r="M28" s="148"/>
      <c r="N28" s="55">
        <v>750</v>
      </c>
      <c r="O28" s="55">
        <v>27.13</v>
      </c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>
        <v>30</v>
      </c>
      <c r="AX28" s="145" t="s">
        <v>578</v>
      </c>
      <c r="AY28" s="145" t="s">
        <v>306</v>
      </c>
      <c r="AZ28" s="116" t="s">
        <v>306</v>
      </c>
    </row>
    <row r="29" spans="1:52" s="197" customFormat="1" ht="31.5">
      <c r="A29" s="323"/>
      <c r="B29" s="324" t="s">
        <v>941</v>
      </c>
      <c r="C29" s="55" t="s">
        <v>942</v>
      </c>
      <c r="D29" s="145"/>
      <c r="E29" s="145"/>
      <c r="F29" s="145"/>
      <c r="G29" s="148"/>
      <c r="H29" s="148"/>
      <c r="I29" s="148"/>
      <c r="J29" s="148"/>
      <c r="K29" s="148"/>
      <c r="L29" s="148"/>
      <c r="M29" s="148"/>
      <c r="N29" s="55">
        <v>13500</v>
      </c>
      <c r="O29" s="55">
        <v>13.5</v>
      </c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 t="s">
        <v>943</v>
      </c>
      <c r="AY29" s="145" t="s">
        <v>306</v>
      </c>
      <c r="AZ29" s="116" t="s">
        <v>306</v>
      </c>
    </row>
    <row r="30" spans="1:52" s="197" customFormat="1" ht="45">
      <c r="A30" s="1304" t="s">
        <v>587</v>
      </c>
      <c r="B30" s="1302" t="s">
        <v>588</v>
      </c>
      <c r="C30" s="145" t="s">
        <v>563</v>
      </c>
      <c r="D30" s="145"/>
      <c r="E30" s="145"/>
      <c r="F30" s="145"/>
      <c r="G30" s="1031">
        <v>49</v>
      </c>
      <c r="H30" s="148"/>
      <c r="I30" s="148"/>
      <c r="J30" s="148"/>
      <c r="K30" s="148"/>
      <c r="L30" s="148"/>
      <c r="M30" s="148"/>
      <c r="N30" s="148"/>
      <c r="O30" s="1031">
        <v>46.43</v>
      </c>
      <c r="P30" s="145">
        <v>400</v>
      </c>
      <c r="Q30" s="145">
        <v>30</v>
      </c>
      <c r="R30" s="145">
        <v>370</v>
      </c>
      <c r="S30" s="145">
        <v>21.99</v>
      </c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 t="s">
        <v>779</v>
      </c>
      <c r="AK30" s="145">
        <v>0</v>
      </c>
      <c r="AL30" s="145">
        <v>35</v>
      </c>
      <c r="AM30" s="145">
        <v>143.4613</v>
      </c>
      <c r="AN30" s="145"/>
      <c r="AO30" s="145"/>
      <c r="AP30" s="145"/>
      <c r="AQ30" s="145"/>
      <c r="AR30" s="145"/>
      <c r="AS30" s="145"/>
      <c r="AT30" s="145"/>
      <c r="AU30" s="1313">
        <v>6.164</v>
      </c>
      <c r="AV30" s="145" t="s">
        <v>71</v>
      </c>
      <c r="AW30" s="145" t="s">
        <v>861</v>
      </c>
      <c r="AX30" s="145" t="s">
        <v>86</v>
      </c>
      <c r="AY30" s="145" t="s">
        <v>306</v>
      </c>
      <c r="AZ30" s="116" t="s">
        <v>306</v>
      </c>
    </row>
    <row r="31" spans="1:52" s="197" customFormat="1" ht="45">
      <c r="A31" s="1306"/>
      <c r="B31" s="1302"/>
      <c r="C31" s="145" t="s">
        <v>721</v>
      </c>
      <c r="D31" s="145"/>
      <c r="E31" s="145"/>
      <c r="F31" s="145"/>
      <c r="G31" s="1033"/>
      <c r="H31" s="150"/>
      <c r="I31" s="150"/>
      <c r="J31" s="150"/>
      <c r="K31" s="150"/>
      <c r="L31" s="150"/>
      <c r="M31" s="150"/>
      <c r="N31" s="150"/>
      <c r="O31" s="1033"/>
      <c r="P31" s="145"/>
      <c r="Q31" s="145"/>
      <c r="R31" s="145">
        <v>60</v>
      </c>
      <c r="S31" s="145"/>
      <c r="T31" s="145"/>
      <c r="U31" s="145"/>
      <c r="V31" s="145"/>
      <c r="W31" s="145"/>
      <c r="X31" s="145"/>
      <c r="Y31" s="145"/>
      <c r="Z31" s="145"/>
      <c r="AA31" s="145"/>
      <c r="AB31" s="145">
        <v>2635</v>
      </c>
      <c r="AC31" s="145">
        <v>1406</v>
      </c>
      <c r="AD31" s="145"/>
      <c r="AE31" s="145">
        <v>90</v>
      </c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314"/>
      <c r="AV31" s="145" t="s">
        <v>589</v>
      </c>
      <c r="AW31" s="145" t="s">
        <v>967</v>
      </c>
      <c r="AX31" s="145" t="s">
        <v>590</v>
      </c>
      <c r="AY31" s="145" t="s">
        <v>306</v>
      </c>
      <c r="AZ31" s="116" t="s">
        <v>306</v>
      </c>
    </row>
    <row r="32" spans="1:52" s="197" customFormat="1" ht="30">
      <c r="A32" s="294" t="s">
        <v>598</v>
      </c>
      <c r="B32" s="146" t="s">
        <v>189</v>
      </c>
      <c r="C32" s="145" t="s">
        <v>599</v>
      </c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>
        <v>45</v>
      </c>
      <c r="O32" s="145">
        <v>2</v>
      </c>
      <c r="P32" s="145"/>
      <c r="Q32" s="145"/>
      <c r="R32" s="145">
        <v>40</v>
      </c>
      <c r="S32" s="145">
        <v>2</v>
      </c>
      <c r="T32" s="145"/>
      <c r="U32" s="145"/>
      <c r="V32" s="145"/>
      <c r="W32" s="145"/>
      <c r="X32" s="145"/>
      <c r="Y32" s="145"/>
      <c r="Z32" s="145"/>
      <c r="AA32" s="145"/>
      <c r="AB32" s="145">
        <v>40</v>
      </c>
      <c r="AC32" s="145" t="s">
        <v>734</v>
      </c>
      <c r="AD32" s="145">
        <v>30</v>
      </c>
      <c r="AE32" s="145">
        <v>2</v>
      </c>
      <c r="AF32" s="145"/>
      <c r="AG32" s="145"/>
      <c r="AH32" s="145"/>
      <c r="AI32" s="145"/>
      <c r="AJ32" s="145">
        <v>0</v>
      </c>
      <c r="AK32" s="145">
        <v>0</v>
      </c>
      <c r="AL32" s="145" t="s">
        <v>610</v>
      </c>
      <c r="AM32" s="145">
        <v>2</v>
      </c>
      <c r="AN32" s="145"/>
      <c r="AO32" s="145"/>
      <c r="AP32" s="145"/>
      <c r="AQ32" s="145"/>
      <c r="AR32" s="145"/>
      <c r="AS32" s="145"/>
      <c r="AT32" s="145"/>
      <c r="AU32" s="145"/>
      <c r="AV32" s="145" t="s">
        <v>35</v>
      </c>
      <c r="AW32" s="145" t="s">
        <v>967</v>
      </c>
      <c r="AX32" s="145" t="s">
        <v>578</v>
      </c>
      <c r="AY32" s="145" t="s">
        <v>306</v>
      </c>
      <c r="AZ32" s="116" t="s">
        <v>306</v>
      </c>
    </row>
    <row r="33" spans="1:52" s="197" customFormat="1" ht="15">
      <c r="A33" s="1192" t="s">
        <v>600</v>
      </c>
      <c r="B33" s="1200" t="s">
        <v>601</v>
      </c>
      <c r="C33" s="145" t="s">
        <v>350</v>
      </c>
      <c r="D33" s="145"/>
      <c r="E33" s="145"/>
      <c r="F33" s="145">
        <v>14</v>
      </c>
      <c r="G33" s="1031">
        <v>37.2</v>
      </c>
      <c r="H33" s="148"/>
      <c r="I33" s="148"/>
      <c r="J33" s="148"/>
      <c r="K33" s="148"/>
      <c r="L33" s="148"/>
      <c r="M33" s="148"/>
      <c r="N33" s="148"/>
      <c r="O33" s="148"/>
      <c r="P33" s="145" t="s">
        <v>575</v>
      </c>
      <c r="Q33" s="145" t="s">
        <v>575</v>
      </c>
      <c r="R33" s="145" t="s">
        <v>575</v>
      </c>
      <c r="S33" s="145">
        <v>2.96</v>
      </c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>
        <v>0</v>
      </c>
      <c r="AK33" s="145" t="s">
        <v>610</v>
      </c>
      <c r="AL33" s="145">
        <v>4</v>
      </c>
      <c r="AM33" s="145" t="s">
        <v>610</v>
      </c>
      <c r="AN33" s="145"/>
      <c r="AO33" s="145"/>
      <c r="AP33" s="145"/>
      <c r="AQ33" s="145"/>
      <c r="AR33" s="145"/>
      <c r="AS33" s="145"/>
      <c r="AT33" s="145"/>
      <c r="AU33" s="145"/>
      <c r="AV33" s="145" t="s">
        <v>575</v>
      </c>
      <c r="AW33" s="145" t="s">
        <v>575</v>
      </c>
      <c r="AX33" s="145" t="s">
        <v>575</v>
      </c>
      <c r="AY33" s="145" t="s">
        <v>575</v>
      </c>
      <c r="AZ33" s="116" t="s">
        <v>575</v>
      </c>
    </row>
    <row r="34" spans="1:52" s="197" customFormat="1" ht="15">
      <c r="A34" s="1193"/>
      <c r="B34" s="1201"/>
      <c r="C34" s="145" t="s">
        <v>577</v>
      </c>
      <c r="D34" s="145"/>
      <c r="E34" s="145"/>
      <c r="F34" s="145"/>
      <c r="G34" s="1032"/>
      <c r="H34" s="149"/>
      <c r="I34" s="149"/>
      <c r="J34" s="149"/>
      <c r="K34" s="149"/>
      <c r="L34" s="149"/>
      <c r="M34" s="149"/>
      <c r="N34" s="149"/>
      <c r="O34" s="149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 t="s">
        <v>575</v>
      </c>
      <c r="AW34" s="145" t="s">
        <v>575</v>
      </c>
      <c r="AX34" s="145" t="s">
        <v>575</v>
      </c>
      <c r="AY34" s="145" t="s">
        <v>575</v>
      </c>
      <c r="AZ34" s="116" t="s">
        <v>575</v>
      </c>
    </row>
    <row r="35" spans="1:52" s="197" customFormat="1" ht="63">
      <c r="A35" s="179" t="s">
        <v>823</v>
      </c>
      <c r="B35" s="152" t="s">
        <v>824</v>
      </c>
      <c r="C35" s="2" t="s">
        <v>825</v>
      </c>
      <c r="D35" s="2"/>
      <c r="E35" s="2"/>
      <c r="F35" s="2"/>
      <c r="G35" s="1032"/>
      <c r="H35" s="149"/>
      <c r="I35" s="149"/>
      <c r="J35" s="149"/>
      <c r="K35" s="149"/>
      <c r="L35" s="149"/>
      <c r="M35" s="149"/>
      <c r="N35" s="149"/>
      <c r="O35" s="149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 t="s">
        <v>779</v>
      </c>
      <c r="AK35" s="145">
        <v>0</v>
      </c>
      <c r="AL35" s="145" t="s">
        <v>826</v>
      </c>
      <c r="AM35" s="145">
        <v>9.6</v>
      </c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16"/>
    </row>
    <row r="36" spans="1:52" s="197" customFormat="1" ht="45">
      <c r="A36" s="186" t="s">
        <v>192</v>
      </c>
      <c r="B36" s="152" t="s">
        <v>189</v>
      </c>
      <c r="C36" s="145" t="s">
        <v>193</v>
      </c>
      <c r="D36" s="145"/>
      <c r="E36" s="145"/>
      <c r="F36" s="145"/>
      <c r="G36" s="1032"/>
      <c r="H36" s="149"/>
      <c r="I36" s="149"/>
      <c r="J36" s="149"/>
      <c r="K36" s="149"/>
      <c r="L36" s="149"/>
      <c r="M36" s="149"/>
      <c r="N36" s="149"/>
      <c r="O36" s="149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>
        <v>0</v>
      </c>
      <c r="AG36" s="145">
        <v>18</v>
      </c>
      <c r="AH36" s="145"/>
      <c r="AI36" s="145"/>
      <c r="AJ36" s="145" t="s">
        <v>779</v>
      </c>
      <c r="AK36" s="145">
        <v>0</v>
      </c>
      <c r="AL36" s="145" t="s">
        <v>827</v>
      </c>
      <c r="AM36" s="145">
        <v>122.4</v>
      </c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16"/>
    </row>
    <row r="37" spans="1:52" s="197" customFormat="1" ht="47.25">
      <c r="A37" s="186" t="s">
        <v>828</v>
      </c>
      <c r="B37" s="152" t="s">
        <v>829</v>
      </c>
      <c r="C37" s="145" t="s">
        <v>830</v>
      </c>
      <c r="D37" s="145"/>
      <c r="E37" s="145"/>
      <c r="F37" s="145"/>
      <c r="G37" s="1033"/>
      <c r="H37" s="150"/>
      <c r="I37" s="150"/>
      <c r="J37" s="150"/>
      <c r="K37" s="150"/>
      <c r="L37" s="150"/>
      <c r="M37" s="150"/>
      <c r="N37" s="150"/>
      <c r="O37" s="150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 t="s">
        <v>779</v>
      </c>
      <c r="AK37" s="145">
        <v>0</v>
      </c>
      <c r="AL37" s="145" t="s">
        <v>831</v>
      </c>
      <c r="AM37" s="145">
        <v>99</v>
      </c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16"/>
    </row>
    <row r="38" spans="1:52" s="197" customFormat="1" ht="45">
      <c r="A38" s="186" t="s">
        <v>660</v>
      </c>
      <c r="B38" s="152" t="s">
        <v>661</v>
      </c>
      <c r="C38" s="145" t="s">
        <v>905</v>
      </c>
      <c r="D38" s="145"/>
      <c r="E38" s="145"/>
      <c r="F38" s="145">
        <v>18</v>
      </c>
      <c r="G38" s="145">
        <v>20</v>
      </c>
      <c r="H38" s="145"/>
      <c r="I38" s="145"/>
      <c r="J38" s="145"/>
      <c r="K38" s="145"/>
      <c r="L38" s="145"/>
      <c r="M38" s="145"/>
      <c r="N38" s="145"/>
      <c r="O38" s="30">
        <v>5</v>
      </c>
      <c r="P38" s="145"/>
      <c r="Q38" s="145"/>
      <c r="R38" s="145"/>
      <c r="S38" s="145"/>
      <c r="T38" s="145"/>
      <c r="U38" s="145"/>
      <c r="V38" s="145">
        <v>50</v>
      </c>
      <c r="W38" s="145">
        <v>10</v>
      </c>
      <c r="X38" s="145"/>
      <c r="Y38" s="145"/>
      <c r="Z38" s="145"/>
      <c r="AA38" s="145"/>
      <c r="AB38" s="145">
        <v>80</v>
      </c>
      <c r="AC38" s="145" t="s">
        <v>734</v>
      </c>
      <c r="AD38" s="145">
        <f>16*30</f>
        <v>480</v>
      </c>
      <c r="AE38" s="145">
        <v>57.6</v>
      </c>
      <c r="AF38" s="145"/>
      <c r="AG38" s="145"/>
      <c r="AH38" s="145"/>
      <c r="AI38" s="145"/>
      <c r="AJ38" s="145" t="s">
        <v>779</v>
      </c>
      <c r="AK38" s="145">
        <v>0</v>
      </c>
      <c r="AL38" s="145" t="s">
        <v>832</v>
      </c>
      <c r="AM38" s="1031">
        <v>85</v>
      </c>
      <c r="AN38" s="148"/>
      <c r="AO38" s="148"/>
      <c r="AP38" s="148"/>
      <c r="AQ38" s="148"/>
      <c r="AR38" s="336" t="s">
        <v>963</v>
      </c>
      <c r="AS38" s="336" t="s">
        <v>962</v>
      </c>
      <c r="AT38" s="336" t="s">
        <v>961</v>
      </c>
      <c r="AU38" s="337">
        <v>40</v>
      </c>
      <c r="AV38" s="145" t="s">
        <v>15</v>
      </c>
      <c r="AW38" s="145">
        <v>25</v>
      </c>
      <c r="AX38" s="145" t="s">
        <v>663</v>
      </c>
      <c r="AY38" s="145" t="s">
        <v>306</v>
      </c>
      <c r="AZ38" s="116" t="s">
        <v>64</v>
      </c>
    </row>
    <row r="39" spans="1:52" s="197" customFormat="1" ht="47.25">
      <c r="A39" s="186" t="s">
        <v>833</v>
      </c>
      <c r="B39" s="152" t="s">
        <v>834</v>
      </c>
      <c r="C39" s="145" t="s">
        <v>835</v>
      </c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 t="s">
        <v>779</v>
      </c>
      <c r="AK39" s="145">
        <v>0</v>
      </c>
      <c r="AL39" s="145" t="s">
        <v>832</v>
      </c>
      <c r="AM39" s="1032"/>
      <c r="AN39" s="149"/>
      <c r="AO39" s="149"/>
      <c r="AP39" s="149"/>
      <c r="AQ39" s="149"/>
      <c r="AR39" s="336" t="s">
        <v>610</v>
      </c>
      <c r="AS39" s="336" t="s">
        <v>610</v>
      </c>
      <c r="AT39" s="336" t="s">
        <v>610</v>
      </c>
      <c r="AU39" s="337">
        <v>6.24</v>
      </c>
      <c r="AV39" s="145"/>
      <c r="AW39" s="145"/>
      <c r="AX39" s="145"/>
      <c r="AY39" s="145"/>
      <c r="AZ39" s="116"/>
    </row>
    <row r="40" spans="1:52" s="197" customFormat="1" ht="45">
      <c r="A40" s="186" t="s">
        <v>836</v>
      </c>
      <c r="B40" s="152" t="s">
        <v>837</v>
      </c>
      <c r="C40" s="145" t="s">
        <v>838</v>
      </c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 t="s">
        <v>779</v>
      </c>
      <c r="AK40" s="145">
        <v>0</v>
      </c>
      <c r="AL40" s="145" t="s">
        <v>832</v>
      </c>
      <c r="AM40" s="1032"/>
      <c r="AN40" s="149"/>
      <c r="AO40" s="149"/>
      <c r="AP40" s="149"/>
      <c r="AQ40" s="149"/>
      <c r="AR40" s="336" t="s">
        <v>610</v>
      </c>
      <c r="AS40" s="336" t="s">
        <v>610</v>
      </c>
      <c r="AT40" s="336" t="s">
        <v>610</v>
      </c>
      <c r="AU40" s="337">
        <v>6.24</v>
      </c>
      <c r="AV40" s="145"/>
      <c r="AW40" s="145"/>
      <c r="AX40" s="145"/>
      <c r="AY40" s="145"/>
      <c r="AZ40" s="116"/>
    </row>
    <row r="41" spans="1:52" s="197" customFormat="1" ht="45">
      <c r="A41" s="186" t="s">
        <v>839</v>
      </c>
      <c r="B41" s="152" t="s">
        <v>840</v>
      </c>
      <c r="C41" s="145" t="s">
        <v>841</v>
      </c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 t="s">
        <v>779</v>
      </c>
      <c r="AK41" s="145">
        <v>0</v>
      </c>
      <c r="AL41" s="145" t="s">
        <v>832</v>
      </c>
      <c r="AM41" s="1032"/>
      <c r="AN41" s="149"/>
      <c r="AO41" s="149"/>
      <c r="AP41" s="149"/>
      <c r="AQ41" s="149"/>
      <c r="AR41" s="336" t="s">
        <v>610</v>
      </c>
      <c r="AS41" s="336" t="s">
        <v>610</v>
      </c>
      <c r="AT41" s="336" t="s">
        <v>610</v>
      </c>
      <c r="AU41" s="337">
        <v>11.2</v>
      </c>
      <c r="AV41" s="145"/>
      <c r="AW41" s="145"/>
      <c r="AX41" s="145"/>
      <c r="AY41" s="145"/>
      <c r="AZ41" s="116"/>
    </row>
    <row r="42" spans="1:52" s="197" customFormat="1" ht="126">
      <c r="A42" s="186" t="s">
        <v>842</v>
      </c>
      <c r="B42" s="152" t="s">
        <v>843</v>
      </c>
      <c r="C42" s="145" t="s">
        <v>844</v>
      </c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 t="s">
        <v>779</v>
      </c>
      <c r="AK42" s="145">
        <v>0</v>
      </c>
      <c r="AL42" s="145" t="s">
        <v>832</v>
      </c>
      <c r="AM42" s="1032"/>
      <c r="AN42" s="149"/>
      <c r="AO42" s="149"/>
      <c r="AP42" s="149"/>
      <c r="AQ42" s="149"/>
      <c r="AR42" s="336" t="s">
        <v>610</v>
      </c>
      <c r="AS42" s="336" t="s">
        <v>610</v>
      </c>
      <c r="AT42" s="336" t="s">
        <v>610</v>
      </c>
      <c r="AU42" s="337">
        <v>10.08</v>
      </c>
      <c r="AV42" s="145"/>
      <c r="AW42" s="145"/>
      <c r="AX42" s="145"/>
      <c r="AY42" s="145"/>
      <c r="AZ42" s="116"/>
    </row>
    <row r="43" spans="1:52" s="197" customFormat="1" ht="78.75">
      <c r="A43" s="186" t="s">
        <v>845</v>
      </c>
      <c r="B43" s="152" t="s">
        <v>846</v>
      </c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 t="s">
        <v>779</v>
      </c>
      <c r="AK43" s="145">
        <v>0</v>
      </c>
      <c r="AL43" s="145" t="s">
        <v>832</v>
      </c>
      <c r="AM43" s="1033"/>
      <c r="AN43" s="150"/>
      <c r="AO43" s="150"/>
      <c r="AP43" s="150"/>
      <c r="AQ43" s="150"/>
      <c r="AR43" s="336" t="s">
        <v>610</v>
      </c>
      <c r="AS43" s="336" t="s">
        <v>610</v>
      </c>
      <c r="AT43" s="336" t="s">
        <v>610</v>
      </c>
      <c r="AU43" s="337">
        <v>6.24</v>
      </c>
      <c r="AV43" s="145"/>
      <c r="AW43" s="145"/>
      <c r="AX43" s="145"/>
      <c r="AY43" s="145"/>
      <c r="AZ43" s="116"/>
    </row>
    <row r="44" spans="1:52" s="197" customFormat="1" ht="63">
      <c r="A44" s="186" t="s">
        <v>735</v>
      </c>
      <c r="B44" s="152" t="s">
        <v>736</v>
      </c>
      <c r="C44" s="145" t="s">
        <v>906</v>
      </c>
      <c r="D44" s="145"/>
      <c r="E44" s="145"/>
      <c r="F44" s="145">
        <v>10</v>
      </c>
      <c r="G44" s="145">
        <v>12</v>
      </c>
      <c r="H44" s="145"/>
      <c r="I44" s="145"/>
      <c r="J44" s="145"/>
      <c r="K44" s="145"/>
      <c r="L44" s="145"/>
      <c r="M44" s="145"/>
      <c r="N44" s="338" t="s">
        <v>575</v>
      </c>
      <c r="O44" s="339">
        <v>3</v>
      </c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>
        <v>30</v>
      </c>
      <c r="AC44" s="145" t="s">
        <v>734</v>
      </c>
      <c r="AD44" s="145">
        <f>16*30</f>
        <v>480</v>
      </c>
      <c r="AE44" s="145">
        <v>16</v>
      </c>
      <c r="AF44" s="145"/>
      <c r="AG44" s="145"/>
      <c r="AH44" s="145"/>
      <c r="AI44" s="145"/>
      <c r="AJ44" s="145"/>
      <c r="AK44" s="145"/>
      <c r="AL44" s="145"/>
      <c r="AM44" s="212"/>
      <c r="AN44" s="212"/>
      <c r="AO44" s="212"/>
      <c r="AP44" s="212"/>
      <c r="AQ44" s="212"/>
      <c r="AR44" s="212"/>
      <c r="AS44" s="212"/>
      <c r="AT44" s="212"/>
      <c r="AU44" s="212"/>
      <c r="AV44" s="145" t="s">
        <v>15</v>
      </c>
      <c r="AW44" s="145"/>
      <c r="AX44" s="145" t="s">
        <v>663</v>
      </c>
      <c r="AY44" s="145" t="s">
        <v>306</v>
      </c>
      <c r="AZ44" s="116" t="s">
        <v>64</v>
      </c>
    </row>
    <row r="45" spans="1:52" s="197" customFormat="1" ht="45">
      <c r="A45" s="186" t="s">
        <v>852</v>
      </c>
      <c r="B45" s="152" t="s">
        <v>853</v>
      </c>
      <c r="C45" s="145" t="s">
        <v>610</v>
      </c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 t="s">
        <v>779</v>
      </c>
      <c r="AK45" s="145">
        <v>0</v>
      </c>
      <c r="AL45" s="145" t="s">
        <v>832</v>
      </c>
      <c r="AM45" s="1031">
        <v>17</v>
      </c>
      <c r="AN45" s="148"/>
      <c r="AO45" s="148"/>
      <c r="AP45" s="148"/>
      <c r="AQ45" s="148"/>
      <c r="AR45" s="336" t="s">
        <v>610</v>
      </c>
      <c r="AS45" s="336" t="s">
        <v>610</v>
      </c>
      <c r="AT45" s="336" t="s">
        <v>610</v>
      </c>
      <c r="AU45" s="337">
        <v>8</v>
      </c>
      <c r="AV45" s="145"/>
      <c r="AW45" s="145"/>
      <c r="AX45" s="145"/>
      <c r="AY45" s="145"/>
      <c r="AZ45" s="116"/>
    </row>
    <row r="46" spans="1:52" s="197" customFormat="1" ht="45">
      <c r="A46" s="186" t="s">
        <v>847</v>
      </c>
      <c r="B46" s="152" t="s">
        <v>848</v>
      </c>
      <c r="C46" s="145" t="s">
        <v>610</v>
      </c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 t="s">
        <v>779</v>
      </c>
      <c r="AK46" s="145">
        <v>0</v>
      </c>
      <c r="AL46" s="145" t="s">
        <v>832</v>
      </c>
      <c r="AM46" s="1032"/>
      <c r="AN46" s="149"/>
      <c r="AO46" s="149"/>
      <c r="AP46" s="149"/>
      <c r="AQ46" s="149"/>
      <c r="AR46" s="149"/>
      <c r="AS46" s="149"/>
      <c r="AT46" s="149"/>
      <c r="AU46" s="149"/>
      <c r="AV46" s="145"/>
      <c r="AW46" s="145"/>
      <c r="AX46" s="145"/>
      <c r="AY46" s="145"/>
      <c r="AZ46" s="116"/>
    </row>
    <row r="47" spans="1:52" s="197" customFormat="1" ht="47.25">
      <c r="A47" s="186" t="s">
        <v>849</v>
      </c>
      <c r="B47" s="152" t="s">
        <v>850</v>
      </c>
      <c r="C47" s="145" t="s">
        <v>851</v>
      </c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 t="s">
        <v>779</v>
      </c>
      <c r="AK47" s="145">
        <v>0</v>
      </c>
      <c r="AL47" s="145" t="s">
        <v>832</v>
      </c>
      <c r="AM47" s="1033"/>
      <c r="AN47" s="150"/>
      <c r="AO47" s="150"/>
      <c r="AP47" s="150"/>
      <c r="AQ47" s="150"/>
      <c r="AR47" s="150"/>
      <c r="AS47" s="150"/>
      <c r="AT47" s="150"/>
      <c r="AU47" s="150"/>
      <c r="AV47" s="145"/>
      <c r="AW47" s="145"/>
      <c r="AX47" s="145"/>
      <c r="AY47" s="145"/>
      <c r="AZ47" s="116"/>
    </row>
    <row r="48" spans="1:52" s="197" customFormat="1" ht="15.75">
      <c r="A48" s="186" t="s">
        <v>903</v>
      </c>
      <c r="B48" s="152" t="s">
        <v>603</v>
      </c>
      <c r="C48" s="145" t="s">
        <v>904</v>
      </c>
      <c r="D48" s="145"/>
      <c r="E48" s="145"/>
      <c r="F48" s="145"/>
      <c r="G48" s="145">
        <v>25</v>
      </c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50"/>
      <c r="AN48" s="150"/>
      <c r="AO48" s="150"/>
      <c r="AP48" s="150"/>
      <c r="AQ48" s="150"/>
      <c r="AR48" s="150"/>
      <c r="AS48" s="150"/>
      <c r="AT48" s="150"/>
      <c r="AU48" s="150"/>
      <c r="AV48" s="145"/>
      <c r="AW48" s="145"/>
      <c r="AX48" s="145"/>
      <c r="AY48" s="145"/>
      <c r="AZ48" s="116"/>
    </row>
    <row r="49" spans="1:52" s="197" customFormat="1" ht="30">
      <c r="A49" s="186" t="s">
        <v>602</v>
      </c>
      <c r="B49" s="152" t="s">
        <v>603</v>
      </c>
      <c r="C49" s="145" t="s">
        <v>604</v>
      </c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 t="s">
        <v>575</v>
      </c>
      <c r="Q49" s="145" t="s">
        <v>575</v>
      </c>
      <c r="R49" s="145" t="s">
        <v>575</v>
      </c>
      <c r="S49" s="145">
        <v>15</v>
      </c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336" t="s">
        <v>610</v>
      </c>
      <c r="AS49" s="336" t="s">
        <v>610</v>
      </c>
      <c r="AT49" s="336" t="s">
        <v>610</v>
      </c>
      <c r="AU49" s="340">
        <v>15</v>
      </c>
      <c r="AV49" s="145" t="s">
        <v>575</v>
      </c>
      <c r="AW49" s="145" t="s">
        <v>575</v>
      </c>
      <c r="AX49" s="145" t="s">
        <v>575</v>
      </c>
      <c r="AY49" s="145" t="s">
        <v>575</v>
      </c>
      <c r="AZ49" s="116" t="s">
        <v>575</v>
      </c>
    </row>
    <row r="50" spans="1:52" s="197" customFormat="1" ht="15">
      <c r="A50" s="1304">
        <v>4.1</v>
      </c>
      <c r="B50" s="1302" t="s">
        <v>591</v>
      </c>
      <c r="C50" s="145" t="s">
        <v>592</v>
      </c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>
        <v>80</v>
      </c>
      <c r="S50" s="145">
        <v>13.2</v>
      </c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 t="s">
        <v>37</v>
      </c>
      <c r="AW50" s="145" t="s">
        <v>971</v>
      </c>
      <c r="AX50" s="145" t="s">
        <v>578</v>
      </c>
      <c r="AY50" s="145" t="s">
        <v>306</v>
      </c>
      <c r="AZ50" s="116" t="s">
        <v>306</v>
      </c>
    </row>
    <row r="51" spans="1:52" s="197" customFormat="1" ht="30">
      <c r="A51" s="1305"/>
      <c r="B51" s="1302"/>
      <c r="C51" s="145" t="s">
        <v>593</v>
      </c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>
        <v>240</v>
      </c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 t="s">
        <v>37</v>
      </c>
      <c r="AW51" s="41" t="s">
        <v>970</v>
      </c>
      <c r="AX51" s="145" t="s">
        <v>578</v>
      </c>
      <c r="AY51" s="145" t="s">
        <v>306</v>
      </c>
      <c r="AZ51" s="116" t="s">
        <v>306</v>
      </c>
    </row>
    <row r="52" spans="1:52" s="197" customFormat="1" ht="30">
      <c r="A52" s="1306"/>
      <c r="B52" s="1302"/>
      <c r="C52" s="145" t="s">
        <v>594</v>
      </c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>
        <v>400</v>
      </c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 t="s">
        <v>595</v>
      </c>
      <c r="AW52" s="145" t="s">
        <v>861</v>
      </c>
      <c r="AX52" s="145" t="s">
        <v>578</v>
      </c>
      <c r="AY52" s="145" t="s">
        <v>306</v>
      </c>
      <c r="AZ52" s="116" t="s">
        <v>306</v>
      </c>
    </row>
    <row r="53" spans="1:52" s="197" customFormat="1" ht="47.25">
      <c r="A53" s="173">
        <v>6</v>
      </c>
      <c r="B53" s="152" t="s">
        <v>664</v>
      </c>
      <c r="C53" s="145" t="s">
        <v>662</v>
      </c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>
        <v>490</v>
      </c>
      <c r="W53" s="145">
        <v>24</v>
      </c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 t="s">
        <v>35</v>
      </c>
      <c r="AW53" s="145" t="s">
        <v>575</v>
      </c>
      <c r="AX53" s="145" t="s">
        <v>663</v>
      </c>
      <c r="AY53" s="145" t="s">
        <v>306</v>
      </c>
      <c r="AZ53" s="116" t="s">
        <v>306</v>
      </c>
    </row>
    <row r="54" spans="1:52" s="197" customFormat="1" ht="16.5" thickBot="1">
      <c r="A54" s="341"/>
      <c r="B54" s="342" t="s">
        <v>946</v>
      </c>
      <c r="C54" s="343"/>
      <c r="D54" s="343"/>
      <c r="E54" s="343"/>
      <c r="F54" s="343"/>
      <c r="G54" s="343"/>
      <c r="H54" s="343"/>
      <c r="I54" s="343"/>
      <c r="J54" s="343"/>
      <c r="K54" s="343"/>
      <c r="L54" s="343"/>
      <c r="M54" s="343"/>
      <c r="N54" s="343"/>
      <c r="O54" s="353">
        <v>20</v>
      </c>
      <c r="P54" s="343"/>
      <c r="Q54" s="343"/>
      <c r="R54" s="343"/>
      <c r="S54" s="343"/>
      <c r="T54" s="343"/>
      <c r="U54" s="343"/>
      <c r="V54" s="343"/>
      <c r="W54" s="343"/>
      <c r="X54" s="343"/>
      <c r="Y54" s="343"/>
      <c r="Z54" s="343"/>
      <c r="AA54" s="343"/>
      <c r="AB54" s="343"/>
      <c r="AC54" s="343"/>
      <c r="AD54" s="343"/>
      <c r="AE54" s="343"/>
      <c r="AF54" s="343"/>
      <c r="AG54" s="343"/>
      <c r="AH54" s="343"/>
      <c r="AI54" s="343"/>
      <c r="AJ54" s="343"/>
      <c r="AK54" s="343"/>
      <c r="AL54" s="343"/>
      <c r="AM54" s="343"/>
      <c r="AN54" s="343"/>
      <c r="AO54" s="343"/>
      <c r="AP54" s="343"/>
      <c r="AQ54" s="343"/>
      <c r="AR54" s="343"/>
      <c r="AS54" s="343"/>
      <c r="AT54" s="343"/>
      <c r="AU54" s="343"/>
      <c r="AV54" s="343"/>
      <c r="AW54" s="343"/>
      <c r="AX54" s="343"/>
      <c r="AY54" s="343"/>
      <c r="AZ54" s="344"/>
    </row>
    <row r="55" spans="1:52" s="197" customFormat="1" ht="16.5" thickBot="1">
      <c r="A55" s="345"/>
      <c r="B55" s="270"/>
      <c r="C55" s="269" t="s">
        <v>17</v>
      </c>
      <c r="D55" s="269">
        <f>SUM(D6:D54)</f>
        <v>0</v>
      </c>
      <c r="E55" s="269">
        <f aca="true" t="shared" si="0" ref="E55:AU55">SUM(E6:E54)</f>
        <v>0</v>
      </c>
      <c r="F55" s="269">
        <f t="shared" si="0"/>
        <v>8897</v>
      </c>
      <c r="G55" s="269">
        <f t="shared" si="0"/>
        <v>203.2</v>
      </c>
      <c r="H55" s="269">
        <f t="shared" si="0"/>
        <v>0</v>
      </c>
      <c r="I55" s="269">
        <f t="shared" si="0"/>
        <v>0</v>
      </c>
      <c r="J55" s="269">
        <f t="shared" si="0"/>
        <v>0</v>
      </c>
      <c r="K55" s="269">
        <f t="shared" si="0"/>
        <v>0</v>
      </c>
      <c r="L55" s="269">
        <f t="shared" si="0"/>
        <v>0</v>
      </c>
      <c r="M55" s="269">
        <f t="shared" si="0"/>
        <v>0</v>
      </c>
      <c r="N55" s="269">
        <f t="shared" si="0"/>
        <v>14535</v>
      </c>
      <c r="O55" s="269">
        <f t="shared" si="0"/>
        <v>135.5</v>
      </c>
      <c r="P55" s="269">
        <f t="shared" si="0"/>
        <v>400</v>
      </c>
      <c r="Q55" s="269">
        <f t="shared" si="0"/>
        <v>30</v>
      </c>
      <c r="R55" s="269">
        <f t="shared" si="0"/>
        <v>1190</v>
      </c>
      <c r="S55" s="269">
        <f t="shared" si="0"/>
        <v>60.150000000000006</v>
      </c>
      <c r="T55" s="269">
        <f t="shared" si="0"/>
        <v>0</v>
      </c>
      <c r="U55" s="269">
        <f t="shared" si="0"/>
        <v>0</v>
      </c>
      <c r="V55" s="269">
        <f t="shared" si="0"/>
        <v>590</v>
      </c>
      <c r="W55" s="269">
        <f t="shared" si="0"/>
        <v>36</v>
      </c>
      <c r="X55" s="269">
        <f t="shared" si="0"/>
        <v>0</v>
      </c>
      <c r="Y55" s="269">
        <f t="shared" si="0"/>
        <v>0</v>
      </c>
      <c r="Z55" s="269">
        <f t="shared" si="0"/>
        <v>0</v>
      </c>
      <c r="AA55" s="269">
        <f t="shared" si="0"/>
        <v>0</v>
      </c>
      <c r="AB55" s="269">
        <f t="shared" si="0"/>
        <v>5157</v>
      </c>
      <c r="AC55" s="269">
        <f t="shared" si="0"/>
        <v>1406</v>
      </c>
      <c r="AD55" s="269">
        <f t="shared" si="0"/>
        <v>10650</v>
      </c>
      <c r="AE55" s="269">
        <f t="shared" si="0"/>
        <v>295.2</v>
      </c>
      <c r="AF55" s="269">
        <f t="shared" si="0"/>
        <v>0</v>
      </c>
      <c r="AG55" s="269">
        <f t="shared" si="0"/>
        <v>18</v>
      </c>
      <c r="AH55" s="269">
        <f t="shared" si="0"/>
        <v>1141</v>
      </c>
      <c r="AI55" s="269">
        <f t="shared" si="0"/>
        <v>20</v>
      </c>
      <c r="AJ55" s="269">
        <f t="shared" si="0"/>
        <v>0</v>
      </c>
      <c r="AK55" s="269">
        <f t="shared" si="0"/>
        <v>0</v>
      </c>
      <c r="AL55" s="269">
        <f t="shared" si="0"/>
        <v>303</v>
      </c>
      <c r="AM55" s="269">
        <f t="shared" si="0"/>
        <v>533.9413</v>
      </c>
      <c r="AN55" s="269">
        <f t="shared" si="0"/>
        <v>450</v>
      </c>
      <c r="AO55" s="269">
        <f t="shared" si="0"/>
        <v>400</v>
      </c>
      <c r="AP55" s="269">
        <f t="shared" si="0"/>
        <v>20</v>
      </c>
      <c r="AQ55" s="269">
        <f t="shared" si="0"/>
        <v>12.690000000000001</v>
      </c>
      <c r="AR55" s="269">
        <f t="shared" si="0"/>
        <v>1</v>
      </c>
      <c r="AS55" s="269">
        <f t="shared" si="0"/>
        <v>1</v>
      </c>
      <c r="AT55" s="269">
        <f t="shared" si="0"/>
        <v>0</v>
      </c>
      <c r="AU55" s="269">
        <f t="shared" si="0"/>
        <v>129.54399999999998</v>
      </c>
      <c r="AV55" s="346"/>
      <c r="AW55" s="346"/>
      <c r="AX55" s="346"/>
      <c r="AY55" s="347"/>
      <c r="AZ55" s="348"/>
    </row>
    <row r="56" spans="1:52" s="197" customFormat="1" ht="15.75">
      <c r="A56" s="314"/>
      <c r="B56" s="19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2"/>
      <c r="AW56" s="23"/>
      <c r="AX56" s="22"/>
      <c r="AY56" s="22"/>
      <c r="AZ56" s="22"/>
    </row>
    <row r="57" spans="1:52" s="197" customFormat="1" ht="15.75">
      <c r="A57" s="314"/>
      <c r="B57" s="35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2"/>
      <c r="AW57" s="23"/>
      <c r="AX57" s="22"/>
      <c r="AY57" s="22"/>
      <c r="AZ57" s="22"/>
    </row>
    <row r="58" spans="1:52" s="197" customFormat="1" ht="15.75">
      <c r="A58" s="314"/>
      <c r="B58" s="35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2"/>
      <c r="AW58" s="23"/>
      <c r="AX58" s="22"/>
      <c r="AY58" s="22"/>
      <c r="AZ58" s="22"/>
    </row>
    <row r="59" spans="1:52" s="197" customFormat="1" ht="15.75">
      <c r="A59" s="314"/>
      <c r="B59" s="35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2"/>
      <c r="AW59" s="23"/>
      <c r="AX59" s="22"/>
      <c r="AY59" s="22"/>
      <c r="AZ59" s="22"/>
    </row>
    <row r="60" spans="1:52" s="197" customFormat="1" ht="15.75">
      <c r="A60" s="314"/>
      <c r="B60" s="35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2"/>
      <c r="AW60" s="23"/>
      <c r="AX60" s="22"/>
      <c r="AY60" s="22"/>
      <c r="AZ60" s="22"/>
    </row>
    <row r="61" spans="1:52" s="197" customFormat="1" ht="15.75">
      <c r="A61" s="314"/>
      <c r="B61" s="1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2"/>
      <c r="AW61" s="23"/>
      <c r="AX61" s="22"/>
      <c r="AY61" s="22"/>
      <c r="AZ61" s="22"/>
    </row>
    <row r="62" spans="1:52" s="197" customFormat="1" ht="15.75">
      <c r="A62" s="314"/>
      <c r="B62" s="1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2"/>
      <c r="AW62" s="23"/>
      <c r="AX62" s="22"/>
      <c r="AY62" s="22"/>
      <c r="AZ62" s="22"/>
    </row>
    <row r="63" spans="1:52" s="197" customFormat="1" ht="15.75">
      <c r="A63" s="314"/>
      <c r="B63" s="1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2"/>
      <c r="AW63" s="23"/>
      <c r="AX63" s="22"/>
      <c r="AY63" s="22"/>
      <c r="AZ63" s="22"/>
    </row>
    <row r="64" spans="1:52" s="197" customFormat="1" ht="15.75">
      <c r="A64" s="314"/>
      <c r="B64" s="1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2"/>
      <c r="AW64" s="23"/>
      <c r="AX64" s="22"/>
      <c r="AY64" s="22"/>
      <c r="AZ64" s="22"/>
    </row>
    <row r="65" spans="1:52" s="197" customFormat="1" ht="15.75">
      <c r="A65" s="314"/>
      <c r="B65" s="1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2"/>
      <c r="AW65" s="23"/>
      <c r="AX65" s="22"/>
      <c r="AY65" s="22"/>
      <c r="AZ65" s="22"/>
    </row>
    <row r="66" spans="1:52" s="197" customFormat="1" ht="15.75">
      <c r="A66" s="314"/>
      <c r="B66" s="1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2"/>
      <c r="AW66" s="23"/>
      <c r="AX66" s="22"/>
      <c r="AY66" s="22"/>
      <c r="AZ66" s="22"/>
    </row>
    <row r="67" spans="1:52" s="197" customFormat="1" ht="15.75">
      <c r="A67" s="314"/>
      <c r="B67" s="1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2"/>
      <c r="AW67" s="23"/>
      <c r="AX67" s="22"/>
      <c r="AY67" s="22"/>
      <c r="AZ67" s="22"/>
    </row>
    <row r="68" spans="1:52" s="197" customFormat="1" ht="15.75">
      <c r="A68" s="314"/>
      <c r="B68" s="1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2"/>
      <c r="AW68" s="23"/>
      <c r="AX68" s="22"/>
      <c r="AY68" s="22"/>
      <c r="AZ68" s="22"/>
    </row>
    <row r="69" spans="1:52" s="197" customFormat="1" ht="15.75">
      <c r="A69" s="314"/>
      <c r="B69" s="1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2"/>
      <c r="AW69" s="23"/>
      <c r="AX69" s="22"/>
      <c r="AY69" s="22"/>
      <c r="AZ69" s="22"/>
    </row>
    <row r="70" spans="1:52" s="197" customFormat="1" ht="15.75">
      <c r="A70" s="314"/>
      <c r="B70" s="1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2"/>
      <c r="AW70" s="23"/>
      <c r="AX70" s="22"/>
      <c r="AY70" s="22"/>
      <c r="AZ70" s="22"/>
    </row>
    <row r="71" spans="1:52" s="197" customFormat="1" ht="15.75">
      <c r="A71" s="314"/>
      <c r="B71" s="1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2"/>
      <c r="AW71" s="23"/>
      <c r="AX71" s="22"/>
      <c r="AY71" s="22"/>
      <c r="AZ71" s="22"/>
    </row>
    <row r="72" spans="1:52" s="197" customFormat="1" ht="15.75">
      <c r="A72" s="314"/>
      <c r="B72" s="1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2"/>
      <c r="AW72" s="23"/>
      <c r="AX72" s="22"/>
      <c r="AY72" s="22"/>
      <c r="AZ72" s="22"/>
    </row>
    <row r="73" spans="1:52" s="197" customFormat="1" ht="15.75">
      <c r="A73" s="314"/>
      <c r="B73" s="1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2"/>
      <c r="AW73" s="23"/>
      <c r="AX73" s="22"/>
      <c r="AY73" s="22"/>
      <c r="AZ73" s="22"/>
    </row>
    <row r="74" spans="1:52" s="197" customFormat="1" ht="15.75">
      <c r="A74" s="314"/>
      <c r="B74" s="1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2"/>
      <c r="AW74" s="23"/>
      <c r="AX74" s="22"/>
      <c r="AY74" s="22"/>
      <c r="AZ74" s="22"/>
    </row>
    <row r="75" spans="1:52" s="197" customFormat="1" ht="15.75">
      <c r="A75" s="314"/>
      <c r="B75" s="1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2"/>
      <c r="AW75" s="23"/>
      <c r="AX75" s="22"/>
      <c r="AY75" s="22"/>
      <c r="AZ75" s="22"/>
    </row>
    <row r="76" spans="1:52" s="197" customFormat="1" ht="15.75">
      <c r="A76" s="314"/>
      <c r="B76" s="1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2"/>
      <c r="AW76" s="23"/>
      <c r="AX76" s="22"/>
      <c r="AY76" s="22"/>
      <c r="AZ76" s="22"/>
    </row>
    <row r="77" spans="1:52" s="197" customFormat="1" ht="15.75">
      <c r="A77" s="314"/>
      <c r="B77" s="1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2"/>
      <c r="AW77" s="23"/>
      <c r="AX77" s="22"/>
      <c r="AY77" s="22"/>
      <c r="AZ77" s="22"/>
    </row>
    <row r="78" spans="1:52" s="197" customFormat="1" ht="15.75">
      <c r="A78" s="314"/>
      <c r="B78" s="1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2"/>
      <c r="AW78" s="23"/>
      <c r="AX78" s="22"/>
      <c r="AY78" s="22"/>
      <c r="AZ78" s="22"/>
    </row>
    <row r="79" spans="1:52" s="197" customFormat="1" ht="15.75">
      <c r="A79" s="314"/>
      <c r="B79" s="1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2"/>
      <c r="AW79" s="23"/>
      <c r="AX79" s="22"/>
      <c r="AY79" s="22"/>
      <c r="AZ79" s="22"/>
    </row>
    <row r="80" spans="1:52" s="197" customFormat="1" ht="15.75">
      <c r="A80" s="314"/>
      <c r="B80" s="18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2"/>
      <c r="AW80" s="23"/>
      <c r="AX80" s="22"/>
      <c r="AY80" s="22"/>
      <c r="AZ80" s="22"/>
    </row>
    <row r="81" spans="1:52" s="197" customFormat="1" ht="15.75">
      <c r="A81" s="314"/>
      <c r="B81" s="18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2"/>
      <c r="AW81" s="23"/>
      <c r="AX81" s="22"/>
      <c r="AY81" s="22"/>
      <c r="AZ81" s="22"/>
    </row>
    <row r="82" spans="1:52" s="197" customFormat="1" ht="15.75">
      <c r="A82" s="314"/>
      <c r="B82" s="18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2"/>
      <c r="AW82" s="23"/>
      <c r="AX82" s="22"/>
      <c r="AY82" s="22"/>
      <c r="AZ82" s="22"/>
    </row>
    <row r="83" spans="1:52" s="197" customFormat="1" ht="15.75">
      <c r="A83" s="314"/>
      <c r="B83" s="18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2"/>
      <c r="AW83" s="23"/>
      <c r="AX83" s="22"/>
      <c r="AY83" s="22"/>
      <c r="AZ83" s="22"/>
    </row>
    <row r="84" spans="1:52" s="197" customFormat="1" ht="15.75">
      <c r="A84" s="314"/>
      <c r="B84" s="18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2"/>
      <c r="AW84" s="23"/>
      <c r="AX84" s="22"/>
      <c r="AY84" s="22"/>
      <c r="AZ84" s="22"/>
    </row>
    <row r="85" spans="1:52" s="197" customFormat="1" ht="15.75">
      <c r="A85" s="314"/>
      <c r="B85" s="18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2"/>
      <c r="AW85" s="23"/>
      <c r="AX85" s="22"/>
      <c r="AY85" s="22"/>
      <c r="AZ85" s="22"/>
    </row>
    <row r="86" spans="1:52" s="197" customFormat="1" ht="15.75">
      <c r="A86" s="314"/>
      <c r="B86" s="18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2"/>
      <c r="AW86" s="23"/>
      <c r="AX86" s="22"/>
      <c r="AY86" s="22"/>
      <c r="AZ86" s="22"/>
    </row>
    <row r="87" spans="1:52" s="197" customFormat="1" ht="15.75">
      <c r="A87" s="314"/>
      <c r="B87" s="18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2"/>
      <c r="AW87" s="23"/>
      <c r="AX87" s="22"/>
      <c r="AY87" s="22"/>
      <c r="AZ87" s="22"/>
    </row>
    <row r="88" spans="1:52" s="197" customFormat="1" ht="15.75">
      <c r="A88" s="314"/>
      <c r="B88" s="18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2"/>
      <c r="AW88" s="23"/>
      <c r="AX88" s="22"/>
      <c r="AY88" s="22"/>
      <c r="AZ88" s="22"/>
    </row>
    <row r="89" spans="1:52" s="197" customFormat="1" ht="15.75">
      <c r="A89" s="314"/>
      <c r="B89" s="18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2"/>
      <c r="AW89" s="23"/>
      <c r="AX89" s="22"/>
      <c r="AY89" s="22"/>
      <c r="AZ89" s="22"/>
    </row>
    <row r="90" spans="1:52" s="197" customFormat="1" ht="15.75">
      <c r="A90" s="314"/>
      <c r="B90" s="18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2"/>
      <c r="AW90" s="23"/>
      <c r="AX90" s="22"/>
      <c r="AY90" s="22"/>
      <c r="AZ90" s="22"/>
    </row>
    <row r="91" spans="1:52" s="197" customFormat="1" ht="15.75">
      <c r="A91" s="314"/>
      <c r="B91" s="18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2"/>
      <c r="AW91" s="23"/>
      <c r="AX91" s="22"/>
      <c r="AY91" s="22"/>
      <c r="AZ91" s="22"/>
    </row>
    <row r="92" spans="1:52" s="197" customFormat="1" ht="15.75">
      <c r="A92" s="314"/>
      <c r="B92" s="18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2"/>
      <c r="AW92" s="23"/>
      <c r="AX92" s="22"/>
      <c r="AY92" s="22"/>
      <c r="AZ92" s="22"/>
    </row>
    <row r="93" spans="1:52" s="197" customFormat="1" ht="15.75">
      <c r="A93" s="314"/>
      <c r="B93" s="18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2"/>
      <c r="AW93" s="23"/>
      <c r="AX93" s="22"/>
      <c r="AY93" s="22"/>
      <c r="AZ93" s="22"/>
    </row>
    <row r="94" spans="1:52" s="197" customFormat="1" ht="15.75">
      <c r="A94" s="314"/>
      <c r="B94" s="18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2"/>
      <c r="AW94" s="23"/>
      <c r="AX94" s="22"/>
      <c r="AY94" s="22"/>
      <c r="AZ94" s="22"/>
    </row>
    <row r="95" spans="1:52" s="197" customFormat="1" ht="15.75">
      <c r="A95" s="314"/>
      <c r="B95" s="18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2"/>
      <c r="AW95" s="23"/>
      <c r="AX95" s="22"/>
      <c r="AY95" s="22"/>
      <c r="AZ95" s="22"/>
    </row>
    <row r="96" spans="1:52" s="197" customFormat="1" ht="15.75">
      <c r="A96" s="314"/>
      <c r="B96" s="18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2"/>
      <c r="AW96" s="23"/>
      <c r="AX96" s="22"/>
      <c r="AY96" s="22"/>
      <c r="AZ96" s="22"/>
    </row>
    <row r="97" spans="1:52" s="197" customFormat="1" ht="15.75">
      <c r="A97" s="314"/>
      <c r="B97" s="18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2"/>
      <c r="AW97" s="23"/>
      <c r="AX97" s="22"/>
      <c r="AY97" s="22"/>
      <c r="AZ97" s="22"/>
    </row>
    <row r="98" spans="1:52" s="197" customFormat="1" ht="15.75">
      <c r="A98" s="314"/>
      <c r="B98" s="18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2"/>
      <c r="AW98" s="23"/>
      <c r="AX98" s="22"/>
      <c r="AY98" s="22"/>
      <c r="AZ98" s="22"/>
    </row>
    <row r="99" spans="1:52" s="197" customFormat="1" ht="15.75">
      <c r="A99" s="314"/>
      <c r="B99" s="18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2"/>
      <c r="AW99" s="23"/>
      <c r="AX99" s="22"/>
      <c r="AY99" s="22"/>
      <c r="AZ99" s="22"/>
    </row>
    <row r="100" spans="1:52" s="197" customFormat="1" ht="15.75">
      <c r="A100" s="314"/>
      <c r="B100" s="18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2"/>
      <c r="AW100" s="23"/>
      <c r="AX100" s="22"/>
      <c r="AY100" s="22"/>
      <c r="AZ100" s="22"/>
    </row>
    <row r="101" spans="1:52" s="197" customFormat="1" ht="15.75">
      <c r="A101" s="314"/>
      <c r="B101" s="18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2"/>
      <c r="AW101" s="23"/>
      <c r="AX101" s="22"/>
      <c r="AY101" s="22"/>
      <c r="AZ101" s="22"/>
    </row>
    <row r="102" spans="1:52" s="197" customFormat="1" ht="15.75">
      <c r="A102" s="314"/>
      <c r="B102" s="18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2"/>
      <c r="AW102" s="23"/>
      <c r="AX102" s="22"/>
      <c r="AY102" s="22"/>
      <c r="AZ102" s="22"/>
    </row>
    <row r="103" spans="1:52" s="197" customFormat="1" ht="15.75">
      <c r="A103" s="314"/>
      <c r="B103" s="18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2"/>
      <c r="AW103" s="23"/>
      <c r="AX103" s="22"/>
      <c r="AY103" s="22"/>
      <c r="AZ103" s="22"/>
    </row>
    <row r="104" spans="1:52" s="197" customFormat="1" ht="15.75">
      <c r="A104" s="314"/>
      <c r="B104" s="18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2"/>
      <c r="AW104" s="23"/>
      <c r="AX104" s="22"/>
      <c r="AY104" s="22"/>
      <c r="AZ104" s="22"/>
    </row>
    <row r="105" spans="1:52" s="197" customFormat="1" ht="15.75">
      <c r="A105" s="314"/>
      <c r="B105" s="18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2"/>
      <c r="AW105" s="23"/>
      <c r="AX105" s="22"/>
      <c r="AY105" s="22"/>
      <c r="AZ105" s="22"/>
    </row>
    <row r="106" spans="1:52" s="197" customFormat="1" ht="15.75">
      <c r="A106" s="314"/>
      <c r="B106" s="18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2"/>
      <c r="AW106" s="23"/>
      <c r="AX106" s="22"/>
      <c r="AY106" s="22"/>
      <c r="AZ106" s="22"/>
    </row>
    <row r="107" spans="1:52" s="197" customFormat="1" ht="15.75">
      <c r="A107" s="314"/>
      <c r="B107" s="18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2"/>
      <c r="AW107" s="23"/>
      <c r="AX107" s="22"/>
      <c r="AY107" s="22"/>
      <c r="AZ107" s="22"/>
    </row>
    <row r="108" spans="1:52" s="197" customFormat="1" ht="15.75">
      <c r="A108" s="314"/>
      <c r="B108" s="18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2"/>
      <c r="AW108" s="23"/>
      <c r="AX108" s="22"/>
      <c r="AY108" s="22"/>
      <c r="AZ108" s="22"/>
    </row>
    <row r="109" spans="1:52" s="197" customFormat="1" ht="15.75">
      <c r="A109" s="314"/>
      <c r="B109" s="18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2"/>
      <c r="AW109" s="23"/>
      <c r="AX109" s="22"/>
      <c r="AY109" s="22"/>
      <c r="AZ109" s="22"/>
    </row>
    <row r="110" spans="1:52" s="197" customFormat="1" ht="15.75">
      <c r="A110" s="314"/>
      <c r="B110" s="18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2"/>
      <c r="AW110" s="23"/>
      <c r="AX110" s="22"/>
      <c r="AY110" s="22"/>
      <c r="AZ110" s="22"/>
    </row>
    <row r="111" spans="1:52" s="197" customFormat="1" ht="15.75">
      <c r="A111" s="314"/>
      <c r="B111" s="18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2"/>
      <c r="AW111" s="23"/>
      <c r="AX111" s="22"/>
      <c r="AY111" s="22"/>
      <c r="AZ111" s="22"/>
    </row>
    <row r="112" spans="1:52" s="197" customFormat="1" ht="15.75">
      <c r="A112" s="314"/>
      <c r="B112" s="18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2"/>
      <c r="AW112" s="23"/>
      <c r="AX112" s="22"/>
      <c r="AY112" s="22"/>
      <c r="AZ112" s="22"/>
    </row>
    <row r="113" spans="1:52" s="197" customFormat="1" ht="15.75">
      <c r="A113" s="314"/>
      <c r="B113" s="18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2"/>
      <c r="AW113" s="23"/>
      <c r="AX113" s="22"/>
      <c r="AY113" s="22"/>
      <c r="AZ113" s="22"/>
    </row>
    <row r="114" spans="1:52" s="197" customFormat="1" ht="15.75">
      <c r="A114" s="314"/>
      <c r="B114" s="18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2"/>
      <c r="AW114" s="23"/>
      <c r="AX114" s="22"/>
      <c r="AY114" s="22"/>
      <c r="AZ114" s="22"/>
    </row>
    <row r="115" spans="1:52" s="197" customFormat="1" ht="15.75">
      <c r="A115" s="314"/>
      <c r="B115" s="18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2"/>
      <c r="AW115" s="23"/>
      <c r="AX115" s="22"/>
      <c r="AY115" s="22"/>
      <c r="AZ115" s="22"/>
    </row>
    <row r="116" spans="1:52" s="197" customFormat="1" ht="15.75">
      <c r="A116" s="314"/>
      <c r="B116" s="18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2"/>
      <c r="AW116" s="23"/>
      <c r="AX116" s="22"/>
      <c r="AY116" s="22"/>
      <c r="AZ116" s="22"/>
    </row>
    <row r="117" spans="1:52" s="197" customFormat="1" ht="15.75">
      <c r="A117" s="314"/>
      <c r="B117" s="18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2"/>
      <c r="AW117" s="23"/>
      <c r="AX117" s="22"/>
      <c r="AY117" s="22"/>
      <c r="AZ117" s="22"/>
    </row>
    <row r="118" spans="1:52" s="197" customFormat="1" ht="15.75">
      <c r="A118" s="314"/>
      <c r="B118" s="18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2"/>
      <c r="AW118" s="23"/>
      <c r="AX118" s="22"/>
      <c r="AY118" s="22"/>
      <c r="AZ118" s="22"/>
    </row>
    <row r="119" spans="1:52" s="197" customFormat="1" ht="15.75">
      <c r="A119" s="314"/>
      <c r="B119" s="18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2"/>
      <c r="AW119" s="23"/>
      <c r="AX119" s="22"/>
      <c r="AY119" s="22"/>
      <c r="AZ119" s="22"/>
    </row>
    <row r="120" spans="1:52" s="197" customFormat="1" ht="15.75">
      <c r="A120" s="314"/>
      <c r="B120" s="18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2"/>
      <c r="AW120" s="23"/>
      <c r="AX120" s="22"/>
      <c r="AY120" s="22"/>
      <c r="AZ120" s="22"/>
    </row>
    <row r="121" spans="1:52" s="197" customFormat="1" ht="15.75">
      <c r="A121" s="314"/>
      <c r="B121" s="18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2"/>
      <c r="AW121" s="23"/>
      <c r="AX121" s="22"/>
      <c r="AY121" s="22"/>
      <c r="AZ121" s="22"/>
    </row>
    <row r="122" spans="1:52" s="197" customFormat="1" ht="15.75">
      <c r="A122" s="314"/>
      <c r="B122" s="18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2"/>
      <c r="AW122" s="23"/>
      <c r="AX122" s="22"/>
      <c r="AY122" s="22"/>
      <c r="AZ122" s="22"/>
    </row>
    <row r="123" spans="1:52" s="197" customFormat="1" ht="15.75">
      <c r="A123" s="314"/>
      <c r="B123" s="18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2"/>
      <c r="AW123" s="23"/>
      <c r="AX123" s="22"/>
      <c r="AY123" s="22"/>
      <c r="AZ123" s="22"/>
    </row>
    <row r="124" spans="1:52" s="197" customFormat="1" ht="15.75">
      <c r="A124" s="314"/>
      <c r="B124" s="18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2"/>
      <c r="AW124" s="23"/>
      <c r="AX124" s="22"/>
      <c r="AY124" s="22"/>
      <c r="AZ124" s="22"/>
    </row>
    <row r="125" spans="1:52" s="197" customFormat="1" ht="15.75">
      <c r="A125" s="314"/>
      <c r="B125" s="18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2"/>
      <c r="AW125" s="23"/>
      <c r="AX125" s="22"/>
      <c r="AY125" s="22"/>
      <c r="AZ125" s="22"/>
    </row>
    <row r="126" spans="32:52" ht="15.75"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2"/>
      <c r="AW126" s="23"/>
      <c r="AX126" s="22"/>
      <c r="AY126" s="22"/>
      <c r="AZ126" s="22"/>
    </row>
    <row r="127" spans="32:52" ht="15.75"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2"/>
      <c r="AW127" s="23"/>
      <c r="AX127" s="22"/>
      <c r="AY127" s="22"/>
      <c r="AZ127" s="22"/>
    </row>
    <row r="128" spans="32:52" ht="15.75"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2"/>
      <c r="AW128" s="23"/>
      <c r="AX128" s="22"/>
      <c r="AY128" s="22"/>
      <c r="AZ128" s="22"/>
    </row>
    <row r="129" spans="32:52" ht="15.75"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2"/>
      <c r="AW129" s="23"/>
      <c r="AX129" s="22"/>
      <c r="AY129" s="22"/>
      <c r="AZ129" s="22"/>
    </row>
    <row r="130" spans="32:52" ht="15.75"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2"/>
      <c r="AW130" s="23"/>
      <c r="AX130" s="22"/>
      <c r="AY130" s="22"/>
      <c r="AZ130" s="22"/>
    </row>
    <row r="131" spans="32:52" ht="15.75"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2"/>
      <c r="AW131" s="23"/>
      <c r="AX131" s="22"/>
      <c r="AY131" s="22"/>
      <c r="AZ131" s="22"/>
    </row>
    <row r="132" spans="32:52" ht="15.75"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2"/>
      <c r="AW132" s="23"/>
      <c r="AX132" s="22"/>
      <c r="AY132" s="22"/>
      <c r="AZ132" s="22"/>
    </row>
  </sheetData>
  <sheetProtection/>
  <mergeCells count="69">
    <mergeCell ref="O22:O27"/>
    <mergeCell ref="N22:N27"/>
    <mergeCell ref="O30:O31"/>
    <mergeCell ref="AR3:AU3"/>
    <mergeCell ref="AR4:AS4"/>
    <mergeCell ref="AT4:AU4"/>
    <mergeCell ref="AU7:AU16"/>
    <mergeCell ref="AU30:AU31"/>
    <mergeCell ref="AB18:AB21"/>
    <mergeCell ref="AC18:AC21"/>
    <mergeCell ref="B30:B31"/>
    <mergeCell ref="A7:A9"/>
    <mergeCell ref="S7:S9"/>
    <mergeCell ref="A33:A34"/>
    <mergeCell ref="B33:B34"/>
    <mergeCell ref="B22:B27"/>
    <mergeCell ref="G33:G37"/>
    <mergeCell ref="G30:G31"/>
    <mergeCell ref="B18:B21"/>
    <mergeCell ref="O7:O17"/>
    <mergeCell ref="AX4:AX5"/>
    <mergeCell ref="AY4:AY5"/>
    <mergeCell ref="AF3:AI3"/>
    <mergeCell ref="P3:S3"/>
    <mergeCell ref="D3:G3"/>
    <mergeCell ref="A50:A52"/>
    <mergeCell ref="B50:B52"/>
    <mergeCell ref="P4:Q4"/>
    <mergeCell ref="R4:S4"/>
    <mergeCell ref="A30:A31"/>
    <mergeCell ref="B4:B5"/>
    <mergeCell ref="C4:C5"/>
    <mergeCell ref="AF4:AG4"/>
    <mergeCell ref="AH4:AI4"/>
    <mergeCell ref="AV4:AV5"/>
    <mergeCell ref="AW4:AW5"/>
    <mergeCell ref="D4:E4"/>
    <mergeCell ref="F4:G4"/>
    <mergeCell ref="T4:U4"/>
    <mergeCell ref="V4:W4"/>
    <mergeCell ref="AM45:AM47"/>
    <mergeCell ref="AM38:AM43"/>
    <mergeCell ref="AJ3:AM3"/>
    <mergeCell ref="AJ4:AK4"/>
    <mergeCell ref="AL4:AM4"/>
    <mergeCell ref="A1:AZ1"/>
    <mergeCell ref="A2:AZ2"/>
    <mergeCell ref="AZ4:AZ5"/>
    <mergeCell ref="B7:B17"/>
    <mergeCell ref="A4:A5"/>
    <mergeCell ref="J4:K4"/>
    <mergeCell ref="L3:O3"/>
    <mergeCell ref="L4:M4"/>
    <mergeCell ref="N4:O4"/>
    <mergeCell ref="Z4:AA4"/>
    <mergeCell ref="AQ7:AQ15"/>
    <mergeCell ref="T3:W3"/>
    <mergeCell ref="X3:AA3"/>
    <mergeCell ref="X4:Y4"/>
    <mergeCell ref="A3:C3"/>
    <mergeCell ref="AV3:AZ3"/>
    <mergeCell ref="AN3:AQ3"/>
    <mergeCell ref="AN4:AO4"/>
    <mergeCell ref="AP4:AQ4"/>
    <mergeCell ref="AB3:AE3"/>
    <mergeCell ref="AB4:AC4"/>
    <mergeCell ref="AD4:AE4"/>
    <mergeCell ref="H3:K3"/>
    <mergeCell ref="H4:I4"/>
  </mergeCells>
  <printOptions/>
  <pageMargins left="0.35433070866141736" right="0.15748031496062992" top="0.5511811023622047" bottom="0.7480314960629921" header="0.2362204724409449" footer="0.31496062992125984"/>
  <pageSetup horizontalDpi="600" verticalDpi="600" orientation="landscape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Z151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5"/>
  <cols>
    <col min="1" max="1" width="9.140625" style="861" customWidth="1"/>
    <col min="2" max="2" width="23.140625" style="863" customWidth="1"/>
    <col min="3" max="3" width="27.8515625" style="11" customWidth="1"/>
    <col min="4" max="4" width="5.421875" style="11" customWidth="1"/>
    <col min="5" max="5" width="5.28125" style="11" customWidth="1"/>
    <col min="6" max="6" width="8.421875" style="11" customWidth="1"/>
    <col min="7" max="7" width="6.140625" style="11" customWidth="1"/>
    <col min="8" max="10" width="4.8515625" style="11" customWidth="1"/>
    <col min="11" max="13" width="6.57421875" style="11" customWidth="1"/>
    <col min="14" max="14" width="5.57421875" style="11" customWidth="1"/>
    <col min="15" max="15" width="6.57421875" style="11" customWidth="1"/>
    <col min="16" max="19" width="5.00390625" style="11" customWidth="1"/>
    <col min="20" max="20" width="7.28125" style="11" customWidth="1"/>
    <col min="21" max="21" width="6.421875" style="11" customWidth="1"/>
    <col min="22" max="22" width="7.140625" style="11" customWidth="1"/>
    <col min="23" max="23" width="8.57421875" style="11" customWidth="1"/>
    <col min="24" max="24" width="5.8515625" style="11" customWidth="1"/>
    <col min="25" max="25" width="6.140625" style="11" customWidth="1"/>
    <col min="26" max="26" width="7.57421875" style="11" customWidth="1"/>
    <col min="27" max="27" width="4.7109375" style="11" customWidth="1"/>
    <col min="28" max="28" width="8.421875" style="11" customWidth="1"/>
    <col min="29" max="29" width="7.28125" style="11" customWidth="1"/>
    <col min="30" max="30" width="8.28125" style="11" customWidth="1"/>
    <col min="31" max="31" width="5.421875" style="11" customWidth="1"/>
    <col min="32" max="32" width="6.140625" style="11" customWidth="1"/>
    <col min="33" max="33" width="6.57421875" style="11" customWidth="1"/>
    <col min="34" max="34" width="6.140625" style="11" customWidth="1"/>
    <col min="35" max="35" width="6.8515625" style="11" customWidth="1"/>
    <col min="36" max="36" width="7.421875" style="11" customWidth="1"/>
    <col min="37" max="37" width="6.00390625" style="11" customWidth="1"/>
    <col min="38" max="38" width="7.28125" style="11" customWidth="1"/>
    <col min="39" max="39" width="9.140625" style="11" customWidth="1"/>
    <col min="40" max="41" width="4.7109375" style="11" customWidth="1"/>
    <col min="42" max="42" width="8.28125" style="11" customWidth="1"/>
    <col min="43" max="43" width="4.7109375" style="11" customWidth="1"/>
    <col min="44" max="44" width="7.140625" style="21" customWidth="1"/>
    <col min="45" max="45" width="4.8515625" style="21" customWidth="1"/>
    <col min="46" max="46" width="7.8515625" style="21" customWidth="1"/>
    <col min="47" max="47" width="5.00390625" style="21" customWidth="1"/>
    <col min="48" max="48" width="9.8515625" style="24" customWidth="1"/>
    <col min="49" max="49" width="9.28125" style="21" customWidth="1"/>
    <col min="50" max="50" width="19.7109375" style="24" customWidth="1"/>
    <col min="51" max="51" width="9.140625" style="24" customWidth="1"/>
    <col min="52" max="52" width="30.00390625" style="24" customWidth="1"/>
    <col min="53" max="16384" width="9.140625" style="352" customWidth="1"/>
  </cols>
  <sheetData>
    <row r="1" spans="1:52" s="349" customFormat="1" ht="16.5" thickBot="1">
      <c r="A1" s="1181" t="s">
        <v>264</v>
      </c>
      <c r="B1" s="1182"/>
      <c r="C1" s="1182"/>
      <c r="D1" s="1182"/>
      <c r="E1" s="1182"/>
      <c r="F1" s="1182"/>
      <c r="G1" s="1182"/>
      <c r="H1" s="1182"/>
      <c r="I1" s="1182"/>
      <c r="J1" s="1182"/>
      <c r="K1" s="1182"/>
      <c r="L1" s="1182"/>
      <c r="M1" s="1182"/>
      <c r="N1" s="1182"/>
      <c r="O1" s="1182"/>
      <c r="P1" s="1182"/>
      <c r="Q1" s="1182"/>
      <c r="R1" s="1182"/>
      <c r="S1" s="1182"/>
      <c r="T1" s="1182"/>
      <c r="U1" s="1182"/>
      <c r="V1" s="1182"/>
      <c r="W1" s="1182"/>
      <c r="X1" s="1182"/>
      <c r="Y1" s="1182"/>
      <c r="Z1" s="1182"/>
      <c r="AA1" s="1182"/>
      <c r="AB1" s="1182"/>
      <c r="AC1" s="1182"/>
      <c r="AD1" s="1182"/>
      <c r="AE1" s="1182"/>
      <c r="AF1" s="1182"/>
      <c r="AG1" s="1182"/>
      <c r="AH1" s="1182"/>
      <c r="AI1" s="1182"/>
      <c r="AJ1" s="1182"/>
      <c r="AK1" s="1182"/>
      <c r="AL1" s="1182"/>
      <c r="AM1" s="1182"/>
      <c r="AN1" s="1182"/>
      <c r="AO1" s="1182"/>
      <c r="AP1" s="1182"/>
      <c r="AQ1" s="1182"/>
      <c r="AR1" s="1182"/>
      <c r="AS1" s="1182"/>
      <c r="AT1" s="1182"/>
      <c r="AU1" s="1182"/>
      <c r="AV1" s="1182"/>
      <c r="AW1" s="1182"/>
      <c r="AX1" s="1182"/>
      <c r="AY1" s="1182"/>
      <c r="AZ1" s="1183"/>
    </row>
    <row r="2" spans="1:52" s="197" customFormat="1" ht="16.5" thickBot="1">
      <c r="A2" s="1317" t="s">
        <v>550</v>
      </c>
      <c r="B2" s="1318"/>
      <c r="C2" s="1318"/>
      <c r="D2" s="1318"/>
      <c r="E2" s="1318"/>
      <c r="F2" s="1318"/>
      <c r="G2" s="1318"/>
      <c r="H2" s="1318"/>
      <c r="I2" s="1318"/>
      <c r="J2" s="1318"/>
      <c r="K2" s="1318"/>
      <c r="L2" s="1318"/>
      <c r="M2" s="1318"/>
      <c r="N2" s="1318"/>
      <c r="O2" s="1318"/>
      <c r="P2" s="1318"/>
      <c r="Q2" s="1318"/>
      <c r="R2" s="1318"/>
      <c r="S2" s="1318"/>
      <c r="T2" s="1318"/>
      <c r="U2" s="1318"/>
      <c r="V2" s="1318"/>
      <c r="W2" s="1318"/>
      <c r="X2" s="1318"/>
      <c r="Y2" s="1318"/>
      <c r="Z2" s="1318"/>
      <c r="AA2" s="1318"/>
      <c r="AB2" s="1318"/>
      <c r="AC2" s="1318"/>
      <c r="AD2" s="1318"/>
      <c r="AE2" s="1318"/>
      <c r="AF2" s="1318"/>
      <c r="AG2" s="1318"/>
      <c r="AH2" s="1318"/>
      <c r="AI2" s="1318"/>
      <c r="AJ2" s="1318"/>
      <c r="AK2" s="1318"/>
      <c r="AL2" s="1318"/>
      <c r="AM2" s="1318"/>
      <c r="AN2" s="1318"/>
      <c r="AO2" s="1318"/>
      <c r="AP2" s="1318"/>
      <c r="AQ2" s="1318"/>
      <c r="AR2" s="1318"/>
      <c r="AS2" s="1318"/>
      <c r="AT2" s="1318"/>
      <c r="AU2" s="1318"/>
      <c r="AV2" s="1318"/>
      <c r="AW2" s="1318"/>
      <c r="AX2" s="1318"/>
      <c r="AY2" s="1318"/>
      <c r="AZ2" s="1319"/>
    </row>
    <row r="3" spans="1:52" s="197" customFormat="1" ht="16.5" customHeight="1" thickBot="1">
      <c r="A3" s="1320"/>
      <c r="B3" s="1320"/>
      <c r="C3" s="1320"/>
      <c r="D3" s="1320" t="s">
        <v>988</v>
      </c>
      <c r="E3" s="1320"/>
      <c r="F3" s="1320"/>
      <c r="G3" s="1320"/>
      <c r="H3" s="1320" t="s">
        <v>989</v>
      </c>
      <c r="I3" s="1320"/>
      <c r="J3" s="1320"/>
      <c r="K3" s="1320"/>
      <c r="L3" s="1320" t="s">
        <v>990</v>
      </c>
      <c r="M3" s="1320"/>
      <c r="N3" s="1320"/>
      <c r="O3" s="1320"/>
      <c r="P3" s="1320" t="s">
        <v>991</v>
      </c>
      <c r="Q3" s="1320"/>
      <c r="R3" s="1320"/>
      <c r="S3" s="1320"/>
      <c r="T3" s="1320" t="s">
        <v>992</v>
      </c>
      <c r="U3" s="1320"/>
      <c r="V3" s="1320"/>
      <c r="W3" s="1320"/>
      <c r="X3" s="1320" t="s">
        <v>993</v>
      </c>
      <c r="Y3" s="1320"/>
      <c r="Z3" s="1320"/>
      <c r="AA3" s="1320"/>
      <c r="AB3" s="1320" t="s">
        <v>994</v>
      </c>
      <c r="AC3" s="1320"/>
      <c r="AD3" s="1320"/>
      <c r="AE3" s="1320"/>
      <c r="AF3" s="1320" t="s">
        <v>995</v>
      </c>
      <c r="AG3" s="1320"/>
      <c r="AH3" s="1320"/>
      <c r="AI3" s="1320"/>
      <c r="AJ3" s="1320" t="s">
        <v>996</v>
      </c>
      <c r="AK3" s="1320"/>
      <c r="AL3" s="1320"/>
      <c r="AM3" s="1320"/>
      <c r="AN3" s="1320" t="s">
        <v>997</v>
      </c>
      <c r="AO3" s="1320"/>
      <c r="AP3" s="1320"/>
      <c r="AQ3" s="1320"/>
      <c r="AR3" s="1320" t="s">
        <v>998</v>
      </c>
      <c r="AS3" s="1320"/>
      <c r="AT3" s="1320"/>
      <c r="AU3" s="1320"/>
      <c r="AV3" s="1320"/>
      <c r="AW3" s="1320"/>
      <c r="AX3" s="1320"/>
      <c r="AY3" s="1320"/>
      <c r="AZ3" s="839"/>
    </row>
    <row r="4" spans="1:52" s="197" customFormat="1" ht="15.75" customHeight="1" thickBot="1">
      <c r="A4" s="1193" t="s">
        <v>116</v>
      </c>
      <c r="B4" s="1259" t="s">
        <v>187</v>
      </c>
      <c r="C4" s="1323" t="s">
        <v>20</v>
      </c>
      <c r="D4" s="1324" t="s">
        <v>112</v>
      </c>
      <c r="E4" s="1325"/>
      <c r="F4" s="1325" t="s">
        <v>113</v>
      </c>
      <c r="G4" s="1325"/>
      <c r="H4" s="1325" t="s">
        <v>112</v>
      </c>
      <c r="I4" s="1325"/>
      <c r="J4" s="1325" t="s">
        <v>113</v>
      </c>
      <c r="K4" s="1325"/>
      <c r="L4" s="1325" t="s">
        <v>112</v>
      </c>
      <c r="M4" s="1325"/>
      <c r="N4" s="1325" t="s">
        <v>113</v>
      </c>
      <c r="O4" s="1325"/>
      <c r="P4" s="1325" t="s">
        <v>112</v>
      </c>
      <c r="Q4" s="1325"/>
      <c r="R4" s="1325" t="s">
        <v>113</v>
      </c>
      <c r="S4" s="1325"/>
      <c r="T4" s="1325" t="s">
        <v>112</v>
      </c>
      <c r="U4" s="1325"/>
      <c r="V4" s="1325" t="s">
        <v>113</v>
      </c>
      <c r="W4" s="1325"/>
      <c r="X4" s="1325" t="s">
        <v>112</v>
      </c>
      <c r="Y4" s="1325"/>
      <c r="Z4" s="1325" t="s">
        <v>113</v>
      </c>
      <c r="AA4" s="1325"/>
      <c r="AB4" s="1325" t="s">
        <v>112</v>
      </c>
      <c r="AC4" s="1325"/>
      <c r="AD4" s="1325" t="s">
        <v>113</v>
      </c>
      <c r="AE4" s="1325"/>
      <c r="AF4" s="1325" t="s">
        <v>112</v>
      </c>
      <c r="AG4" s="1325"/>
      <c r="AH4" s="1325" t="s">
        <v>113</v>
      </c>
      <c r="AI4" s="1325"/>
      <c r="AJ4" s="1325" t="s">
        <v>112</v>
      </c>
      <c r="AK4" s="1325"/>
      <c r="AL4" s="1325" t="s">
        <v>113</v>
      </c>
      <c r="AM4" s="1325"/>
      <c r="AN4" s="1325" t="s">
        <v>112</v>
      </c>
      <c r="AO4" s="1325"/>
      <c r="AP4" s="1325" t="s">
        <v>113</v>
      </c>
      <c r="AQ4" s="1325"/>
      <c r="AR4" s="1325" t="s">
        <v>112</v>
      </c>
      <c r="AS4" s="1325"/>
      <c r="AT4" s="1325" t="s">
        <v>113</v>
      </c>
      <c r="AU4" s="1326"/>
      <c r="AV4" s="1327" t="s">
        <v>4</v>
      </c>
      <c r="AW4" s="1259" t="s">
        <v>122</v>
      </c>
      <c r="AX4" s="1259" t="s">
        <v>5</v>
      </c>
      <c r="AY4" s="1259" t="s">
        <v>83</v>
      </c>
      <c r="AZ4" s="1328" t="s">
        <v>84</v>
      </c>
    </row>
    <row r="5" spans="1:52" s="197" customFormat="1" ht="98.25" thickBot="1">
      <c r="A5" s="1321"/>
      <c r="B5" s="1322"/>
      <c r="C5" s="1322"/>
      <c r="D5" s="840" t="s">
        <v>6</v>
      </c>
      <c r="E5" s="841" t="s">
        <v>7</v>
      </c>
      <c r="F5" s="841" t="s">
        <v>6</v>
      </c>
      <c r="G5" s="841" t="s">
        <v>188</v>
      </c>
      <c r="H5" s="840" t="s">
        <v>6</v>
      </c>
      <c r="I5" s="841" t="s">
        <v>7</v>
      </c>
      <c r="J5" s="841" t="s">
        <v>6</v>
      </c>
      <c r="K5" s="841" t="s">
        <v>188</v>
      </c>
      <c r="L5" s="840" t="s">
        <v>6</v>
      </c>
      <c r="M5" s="841" t="s">
        <v>7</v>
      </c>
      <c r="N5" s="841" t="s">
        <v>6</v>
      </c>
      <c r="O5" s="841" t="s">
        <v>188</v>
      </c>
      <c r="P5" s="840" t="s">
        <v>6</v>
      </c>
      <c r="Q5" s="841" t="s">
        <v>7</v>
      </c>
      <c r="R5" s="841" t="s">
        <v>6</v>
      </c>
      <c r="S5" s="841" t="s">
        <v>188</v>
      </c>
      <c r="T5" s="840" t="s">
        <v>6</v>
      </c>
      <c r="U5" s="841" t="s">
        <v>7</v>
      </c>
      <c r="V5" s="841" t="s">
        <v>6</v>
      </c>
      <c r="W5" s="841" t="s">
        <v>188</v>
      </c>
      <c r="X5" s="840" t="s">
        <v>6</v>
      </c>
      <c r="Y5" s="841" t="s">
        <v>7</v>
      </c>
      <c r="Z5" s="841" t="s">
        <v>6</v>
      </c>
      <c r="AA5" s="841" t="s">
        <v>188</v>
      </c>
      <c r="AB5" s="840" t="s">
        <v>6</v>
      </c>
      <c r="AC5" s="841" t="s">
        <v>7</v>
      </c>
      <c r="AD5" s="841" t="s">
        <v>6</v>
      </c>
      <c r="AE5" s="841" t="s">
        <v>188</v>
      </c>
      <c r="AF5" s="840" t="s">
        <v>6</v>
      </c>
      <c r="AG5" s="841" t="s">
        <v>7</v>
      </c>
      <c r="AH5" s="841" t="s">
        <v>6</v>
      </c>
      <c r="AI5" s="841" t="s">
        <v>188</v>
      </c>
      <c r="AJ5" s="840" t="s">
        <v>6</v>
      </c>
      <c r="AK5" s="841" t="s">
        <v>7</v>
      </c>
      <c r="AL5" s="841" t="s">
        <v>6</v>
      </c>
      <c r="AM5" s="841" t="s">
        <v>188</v>
      </c>
      <c r="AN5" s="840" t="s">
        <v>6</v>
      </c>
      <c r="AO5" s="841" t="s">
        <v>7</v>
      </c>
      <c r="AP5" s="841" t="s">
        <v>6</v>
      </c>
      <c r="AQ5" s="841" t="s">
        <v>188</v>
      </c>
      <c r="AR5" s="840" t="s">
        <v>6</v>
      </c>
      <c r="AS5" s="841" t="s">
        <v>7</v>
      </c>
      <c r="AT5" s="841" t="s">
        <v>6</v>
      </c>
      <c r="AU5" s="841" t="s">
        <v>188</v>
      </c>
      <c r="AV5" s="1322"/>
      <c r="AW5" s="1322"/>
      <c r="AX5" s="1322"/>
      <c r="AY5" s="1322"/>
      <c r="AZ5" s="1260"/>
    </row>
    <row r="6" spans="1:52" s="393" customFormat="1" ht="15" customHeight="1">
      <c r="A6" s="1306" t="s">
        <v>190</v>
      </c>
      <c r="B6" s="1277" t="s">
        <v>191</v>
      </c>
      <c r="C6" s="150" t="s">
        <v>22</v>
      </c>
      <c r="D6" s="150"/>
      <c r="E6" s="150"/>
      <c r="F6" s="150"/>
      <c r="G6" s="150"/>
      <c r="H6" s="144">
        <v>40</v>
      </c>
      <c r="I6" s="144">
        <v>0</v>
      </c>
      <c r="J6" s="144">
        <v>30</v>
      </c>
      <c r="K6" s="1059">
        <v>2</v>
      </c>
      <c r="L6" s="150"/>
      <c r="M6" s="150"/>
      <c r="N6" s="150"/>
      <c r="O6" s="150"/>
      <c r="P6" s="150"/>
      <c r="Q6" s="150"/>
      <c r="R6" s="150"/>
      <c r="S6" s="144">
        <v>5</v>
      </c>
      <c r="T6" s="1331">
        <v>440</v>
      </c>
      <c r="U6" s="1331">
        <v>0</v>
      </c>
      <c r="V6" s="1331">
        <v>600</v>
      </c>
      <c r="W6" s="1331">
        <v>10</v>
      </c>
      <c r="X6" s="150"/>
      <c r="Y6" s="150"/>
      <c r="Z6" s="150"/>
      <c r="AA6" s="150"/>
      <c r="AB6" s="115">
        <v>200</v>
      </c>
      <c r="AC6" s="150"/>
      <c r="AD6" s="115">
        <v>200</v>
      </c>
      <c r="AE6" s="1033">
        <v>5</v>
      </c>
      <c r="AF6" s="842">
        <v>90</v>
      </c>
      <c r="AG6" s="842">
        <v>80</v>
      </c>
      <c r="AH6" s="842">
        <v>90</v>
      </c>
      <c r="AI6" s="420">
        <v>1.46</v>
      </c>
      <c r="AJ6" s="1033" t="s">
        <v>1271</v>
      </c>
      <c r="AK6" s="1033"/>
      <c r="AL6" s="1033" t="s">
        <v>1157</v>
      </c>
      <c r="AM6" s="1333">
        <v>5</v>
      </c>
      <c r="AN6" s="420"/>
      <c r="AO6" s="420"/>
      <c r="AP6" s="420"/>
      <c r="AQ6" s="420"/>
      <c r="AR6" s="150">
        <v>20</v>
      </c>
      <c r="AS6" s="150">
        <v>0</v>
      </c>
      <c r="AT6" s="150">
        <v>400</v>
      </c>
      <c r="AU6" s="150">
        <v>3</v>
      </c>
      <c r="AV6" s="141" t="s">
        <v>589</v>
      </c>
      <c r="AW6" s="141">
        <v>20</v>
      </c>
      <c r="AX6" s="141" t="s">
        <v>578</v>
      </c>
      <c r="AY6" s="141" t="s">
        <v>306</v>
      </c>
      <c r="AZ6" s="843" t="s">
        <v>335</v>
      </c>
    </row>
    <row r="7" spans="1:52" s="393" customFormat="1" ht="15" customHeight="1">
      <c r="A7" s="1329"/>
      <c r="B7" s="1302"/>
      <c r="C7" s="145" t="s">
        <v>596</v>
      </c>
      <c r="D7" s="145"/>
      <c r="E7" s="145"/>
      <c r="F7" s="145"/>
      <c r="G7" s="145"/>
      <c r="H7" s="145"/>
      <c r="I7" s="145"/>
      <c r="J7" s="145"/>
      <c r="K7" s="1330"/>
      <c r="L7" s="145"/>
      <c r="M7" s="145"/>
      <c r="N7" s="145"/>
      <c r="O7" s="145"/>
      <c r="P7" s="145"/>
      <c r="Q7" s="145"/>
      <c r="R7" s="145"/>
      <c r="S7" s="145"/>
      <c r="T7" s="1332"/>
      <c r="U7" s="1332"/>
      <c r="V7" s="1332"/>
      <c r="W7" s="1332"/>
      <c r="X7" s="145"/>
      <c r="Y7" s="145"/>
      <c r="Z7" s="145"/>
      <c r="AA7" s="145"/>
      <c r="AB7" s="55"/>
      <c r="AC7" s="145"/>
      <c r="AD7" s="55"/>
      <c r="AE7" s="1062"/>
      <c r="AF7" s="145"/>
      <c r="AG7" s="145"/>
      <c r="AH7" s="145"/>
      <c r="AI7" s="145"/>
      <c r="AJ7" s="1062"/>
      <c r="AK7" s="1062"/>
      <c r="AL7" s="1062"/>
      <c r="AM7" s="1334"/>
      <c r="AN7" s="145"/>
      <c r="AO7" s="145"/>
      <c r="AP7" s="145"/>
      <c r="AQ7" s="145"/>
      <c r="AR7" s="145"/>
      <c r="AS7" s="145"/>
      <c r="AT7" s="145"/>
      <c r="AU7" s="145"/>
      <c r="AV7" s="68" t="s">
        <v>35</v>
      </c>
      <c r="AW7" s="68">
        <v>20</v>
      </c>
      <c r="AX7" s="68" t="s">
        <v>578</v>
      </c>
      <c r="AY7" s="68" t="s">
        <v>306</v>
      </c>
      <c r="AZ7" s="121" t="s">
        <v>335</v>
      </c>
    </row>
    <row r="8" spans="1:52" s="393" customFormat="1" ht="15" customHeight="1">
      <c r="A8" s="1329"/>
      <c r="B8" s="1302"/>
      <c r="C8" s="145" t="s">
        <v>597</v>
      </c>
      <c r="D8" s="145"/>
      <c r="E8" s="145"/>
      <c r="F8" s="145"/>
      <c r="G8" s="145"/>
      <c r="H8" s="145"/>
      <c r="I8" s="145"/>
      <c r="J8" s="145"/>
      <c r="K8" s="1330"/>
      <c r="L8" s="145"/>
      <c r="M8" s="145"/>
      <c r="N8" s="145"/>
      <c r="O8" s="145"/>
      <c r="P8" s="145"/>
      <c r="Q8" s="145"/>
      <c r="R8" s="145"/>
      <c r="S8" s="145"/>
      <c r="T8" s="844"/>
      <c r="U8" s="844"/>
      <c r="V8" s="844"/>
      <c r="W8" s="1332"/>
      <c r="X8" s="145"/>
      <c r="Y8" s="145"/>
      <c r="Z8" s="145"/>
      <c r="AA8" s="145"/>
      <c r="AB8" s="55"/>
      <c r="AC8" s="145"/>
      <c r="AD8" s="55"/>
      <c r="AE8" s="1062"/>
      <c r="AF8" s="145"/>
      <c r="AG8" s="145"/>
      <c r="AH8" s="145"/>
      <c r="AI8" s="145"/>
      <c r="AJ8" s="1062"/>
      <c r="AK8" s="1062"/>
      <c r="AL8" s="1062"/>
      <c r="AM8" s="1334"/>
      <c r="AN8" s="145"/>
      <c r="AO8" s="145"/>
      <c r="AP8" s="145"/>
      <c r="AQ8" s="145"/>
      <c r="AR8" s="145"/>
      <c r="AS8" s="145"/>
      <c r="AT8" s="145"/>
      <c r="AU8" s="145"/>
      <c r="AV8" s="68" t="s">
        <v>23</v>
      </c>
      <c r="AW8" s="68">
        <v>30</v>
      </c>
      <c r="AX8" s="68" t="s">
        <v>578</v>
      </c>
      <c r="AY8" s="68" t="s">
        <v>306</v>
      </c>
      <c r="AZ8" s="121" t="s">
        <v>335</v>
      </c>
    </row>
    <row r="9" spans="1:52" s="393" customFormat="1" ht="15.75">
      <c r="A9" s="186" t="s">
        <v>249</v>
      </c>
      <c r="B9" s="1302"/>
      <c r="C9" s="145" t="s">
        <v>248</v>
      </c>
      <c r="D9" s="145"/>
      <c r="E9" s="145"/>
      <c r="F9" s="145"/>
      <c r="G9" s="145"/>
      <c r="H9" s="145"/>
      <c r="I9" s="145"/>
      <c r="J9" s="145"/>
      <c r="K9" s="1330"/>
      <c r="L9" s="145"/>
      <c r="M9" s="145"/>
      <c r="N9" s="145"/>
      <c r="O9" s="145"/>
      <c r="P9" s="145"/>
      <c r="Q9" s="145"/>
      <c r="R9" s="145"/>
      <c r="S9" s="145"/>
      <c r="T9" s="844"/>
      <c r="U9" s="844"/>
      <c r="V9" s="844"/>
      <c r="W9" s="1332"/>
      <c r="X9" s="2">
        <v>0</v>
      </c>
      <c r="Y9" s="2">
        <v>0</v>
      </c>
      <c r="Z9" s="2">
        <v>80</v>
      </c>
      <c r="AA9" s="1335">
        <v>3</v>
      </c>
      <c r="AB9" s="55">
        <v>40</v>
      </c>
      <c r="AC9" s="145"/>
      <c r="AD9" s="55">
        <v>40</v>
      </c>
      <c r="AE9" s="1062"/>
      <c r="AF9" s="2">
        <v>20</v>
      </c>
      <c r="AG9" s="2">
        <v>24</v>
      </c>
      <c r="AH9" s="2">
        <v>21</v>
      </c>
      <c r="AI9" s="2">
        <v>0.67</v>
      </c>
      <c r="AJ9" s="1062"/>
      <c r="AK9" s="1062"/>
      <c r="AL9" s="1062"/>
      <c r="AM9" s="1334"/>
      <c r="AN9" s="2"/>
      <c r="AO9" s="2"/>
      <c r="AP9" s="2"/>
      <c r="AQ9" s="2"/>
      <c r="AR9" s="145"/>
      <c r="AS9" s="145"/>
      <c r="AT9" s="145"/>
      <c r="AU9" s="145">
        <v>0.5</v>
      </c>
      <c r="AV9" s="68"/>
      <c r="AW9" s="68"/>
      <c r="AX9" s="68"/>
      <c r="AY9" s="68"/>
      <c r="AZ9" s="121"/>
    </row>
    <row r="10" spans="1:52" s="393" customFormat="1" ht="30">
      <c r="A10" s="186" t="s">
        <v>251</v>
      </c>
      <c r="B10" s="1302"/>
      <c r="C10" s="101" t="s">
        <v>250</v>
      </c>
      <c r="D10" s="101"/>
      <c r="E10" s="101"/>
      <c r="F10" s="101"/>
      <c r="G10" s="101"/>
      <c r="H10" s="91">
        <v>0</v>
      </c>
      <c r="I10" s="91">
        <v>0</v>
      </c>
      <c r="J10" s="91">
        <v>30</v>
      </c>
      <c r="K10" s="1330"/>
      <c r="L10" s="145"/>
      <c r="M10" s="145"/>
      <c r="N10" s="145"/>
      <c r="O10" s="145"/>
      <c r="P10" s="101"/>
      <c r="Q10" s="101"/>
      <c r="R10" s="101"/>
      <c r="S10" s="101"/>
      <c r="T10" s="844">
        <v>631</v>
      </c>
      <c r="U10" s="844">
        <v>0</v>
      </c>
      <c r="V10" s="844">
        <v>900</v>
      </c>
      <c r="W10" s="1332"/>
      <c r="X10" s="2">
        <v>0</v>
      </c>
      <c r="Y10" s="2">
        <v>40</v>
      </c>
      <c r="Z10" s="2">
        <v>720</v>
      </c>
      <c r="AA10" s="1335"/>
      <c r="AB10" s="55">
        <v>100</v>
      </c>
      <c r="AC10" s="145"/>
      <c r="AD10" s="55">
        <v>100</v>
      </c>
      <c r="AE10" s="1062"/>
      <c r="AF10" s="2">
        <v>880</v>
      </c>
      <c r="AG10" s="2">
        <v>740</v>
      </c>
      <c r="AH10" s="2">
        <v>880</v>
      </c>
      <c r="AI10" s="2">
        <v>6.13</v>
      </c>
      <c r="AJ10" s="1062"/>
      <c r="AK10" s="1062"/>
      <c r="AL10" s="1062"/>
      <c r="AM10" s="1334"/>
      <c r="AN10" s="2"/>
      <c r="AO10" s="2"/>
      <c r="AP10" s="2"/>
      <c r="AQ10" s="2"/>
      <c r="AR10" s="145">
        <v>480</v>
      </c>
      <c r="AS10" s="145">
        <v>0</v>
      </c>
      <c r="AT10" s="145">
        <v>480</v>
      </c>
      <c r="AU10" s="145">
        <v>2.6</v>
      </c>
      <c r="AV10" s="68" t="s">
        <v>35</v>
      </c>
      <c r="AW10" s="145">
        <v>30</v>
      </c>
      <c r="AX10" s="68" t="s">
        <v>311</v>
      </c>
      <c r="AY10" s="68" t="s">
        <v>306</v>
      </c>
      <c r="AZ10" s="121" t="s">
        <v>335</v>
      </c>
    </row>
    <row r="11" spans="1:52" s="393" customFormat="1" ht="15.75">
      <c r="A11" s="296" t="s">
        <v>258</v>
      </c>
      <c r="B11" s="1302"/>
      <c r="C11" s="101" t="s">
        <v>252</v>
      </c>
      <c r="D11" s="101"/>
      <c r="E11" s="101"/>
      <c r="F11" s="101"/>
      <c r="G11" s="101"/>
      <c r="H11" s="91">
        <v>40</v>
      </c>
      <c r="I11" s="91">
        <v>0</v>
      </c>
      <c r="J11" s="91">
        <v>30</v>
      </c>
      <c r="K11" s="1330"/>
      <c r="L11" s="145"/>
      <c r="M11" s="145"/>
      <c r="N11" s="145"/>
      <c r="O11" s="145"/>
      <c r="P11" s="101"/>
      <c r="Q11" s="101"/>
      <c r="R11" s="101"/>
      <c r="S11" s="101"/>
      <c r="T11" s="844"/>
      <c r="U11" s="844"/>
      <c r="V11" s="844"/>
      <c r="W11" s="1332"/>
      <c r="X11" s="2"/>
      <c r="Y11" s="2"/>
      <c r="Z11" s="2">
        <v>20</v>
      </c>
      <c r="AA11" s="1335"/>
      <c r="AB11" s="2"/>
      <c r="AC11" s="2"/>
      <c r="AD11" s="2"/>
      <c r="AE11" s="1062"/>
      <c r="AF11" s="2"/>
      <c r="AG11" s="2"/>
      <c r="AH11" s="2"/>
      <c r="AI11" s="2"/>
      <c r="AJ11" s="1062"/>
      <c r="AK11" s="1062"/>
      <c r="AL11" s="1062"/>
      <c r="AM11" s="1334"/>
      <c r="AN11" s="2"/>
      <c r="AO11" s="2"/>
      <c r="AP11" s="2"/>
      <c r="AQ11" s="2"/>
      <c r="AR11" s="145"/>
      <c r="AS11" s="145"/>
      <c r="AT11" s="145"/>
      <c r="AU11" s="145"/>
      <c r="AV11" s="68"/>
      <c r="AW11" s="68"/>
      <c r="AX11" s="68"/>
      <c r="AY11" s="68"/>
      <c r="AZ11" s="121"/>
    </row>
    <row r="12" spans="1:52" s="393" customFormat="1" ht="15.75">
      <c r="A12" s="296" t="s">
        <v>259</v>
      </c>
      <c r="B12" s="1302"/>
      <c r="C12" s="101" t="s">
        <v>253</v>
      </c>
      <c r="D12" s="101"/>
      <c r="E12" s="101"/>
      <c r="F12" s="101"/>
      <c r="G12" s="101"/>
      <c r="H12" s="91">
        <v>0</v>
      </c>
      <c r="I12" s="91">
        <v>0</v>
      </c>
      <c r="J12" s="91">
        <v>30</v>
      </c>
      <c r="K12" s="1330"/>
      <c r="L12" s="145"/>
      <c r="M12" s="145"/>
      <c r="N12" s="145"/>
      <c r="O12" s="145"/>
      <c r="P12" s="101"/>
      <c r="Q12" s="101"/>
      <c r="R12" s="101"/>
      <c r="S12" s="101"/>
      <c r="T12" s="844"/>
      <c r="U12" s="844"/>
      <c r="V12" s="844"/>
      <c r="W12" s="1332"/>
      <c r="X12" s="2">
        <v>0</v>
      </c>
      <c r="Y12" s="2">
        <v>0</v>
      </c>
      <c r="Z12" s="2">
        <v>20</v>
      </c>
      <c r="AA12" s="1335"/>
      <c r="AB12" s="55">
        <v>40</v>
      </c>
      <c r="AC12" s="145"/>
      <c r="AD12" s="55">
        <v>40</v>
      </c>
      <c r="AE12" s="1062"/>
      <c r="AF12" s="2">
        <f>2*23</f>
        <v>46</v>
      </c>
      <c r="AG12" s="2">
        <v>46</v>
      </c>
      <c r="AH12" s="2">
        <v>46</v>
      </c>
      <c r="AI12" s="2">
        <v>0.98</v>
      </c>
      <c r="AJ12" s="1062"/>
      <c r="AK12" s="1062"/>
      <c r="AL12" s="1062"/>
      <c r="AM12" s="1334"/>
      <c r="AN12" s="2"/>
      <c r="AO12" s="2"/>
      <c r="AP12" s="2">
        <v>11</v>
      </c>
      <c r="AQ12" s="1335">
        <v>5</v>
      </c>
      <c r="AR12" s="145">
        <v>2</v>
      </c>
      <c r="AS12" s="145">
        <v>0</v>
      </c>
      <c r="AT12" s="145">
        <v>26</v>
      </c>
      <c r="AU12" s="145">
        <v>0.48</v>
      </c>
      <c r="AV12" s="68" t="s">
        <v>35</v>
      </c>
      <c r="AW12" s="145">
        <v>30</v>
      </c>
      <c r="AX12" s="68" t="s">
        <v>13</v>
      </c>
      <c r="AY12" s="68" t="s">
        <v>306</v>
      </c>
      <c r="AZ12" s="121" t="s">
        <v>335</v>
      </c>
    </row>
    <row r="13" spans="1:52" s="393" customFormat="1" ht="15.75">
      <c r="A13" s="296" t="s">
        <v>260</v>
      </c>
      <c r="B13" s="1302"/>
      <c r="C13" s="145" t="s">
        <v>254</v>
      </c>
      <c r="D13" s="145"/>
      <c r="E13" s="145"/>
      <c r="F13" s="145"/>
      <c r="G13" s="145"/>
      <c r="H13" s="91"/>
      <c r="I13" s="91"/>
      <c r="J13" s="91"/>
      <c r="K13" s="1330"/>
      <c r="L13" s="145"/>
      <c r="M13" s="145"/>
      <c r="N13" s="145"/>
      <c r="O13" s="145"/>
      <c r="P13" s="145"/>
      <c r="Q13" s="145"/>
      <c r="R13" s="145"/>
      <c r="S13" s="145"/>
      <c r="T13" s="844"/>
      <c r="U13" s="844"/>
      <c r="V13" s="844"/>
      <c r="W13" s="1332"/>
      <c r="X13" s="2">
        <v>0</v>
      </c>
      <c r="Y13" s="2">
        <v>0</v>
      </c>
      <c r="Z13" s="2">
        <v>20</v>
      </c>
      <c r="AA13" s="1335"/>
      <c r="AB13" s="55">
        <v>60</v>
      </c>
      <c r="AC13" s="145"/>
      <c r="AD13" s="55">
        <v>60</v>
      </c>
      <c r="AE13" s="1062"/>
      <c r="AF13" s="2">
        <v>27</v>
      </c>
      <c r="AG13" s="2">
        <v>27</v>
      </c>
      <c r="AH13" s="2">
        <v>27</v>
      </c>
      <c r="AI13" s="2">
        <v>0.55</v>
      </c>
      <c r="AJ13" s="1062"/>
      <c r="AK13" s="1062"/>
      <c r="AL13" s="1062"/>
      <c r="AM13" s="1334"/>
      <c r="AN13" s="2"/>
      <c r="AO13" s="2"/>
      <c r="AP13" s="2">
        <v>15</v>
      </c>
      <c r="AQ13" s="1335"/>
      <c r="AR13" s="145">
        <v>3</v>
      </c>
      <c r="AS13" s="145">
        <v>0</v>
      </c>
      <c r="AT13" s="145">
        <v>46</v>
      </c>
      <c r="AU13" s="145">
        <v>0.62</v>
      </c>
      <c r="AV13" s="68"/>
      <c r="AW13" s="68"/>
      <c r="AX13" s="68"/>
      <c r="AY13" s="68"/>
      <c r="AZ13" s="121"/>
    </row>
    <row r="14" spans="1:52" s="393" customFormat="1" ht="15.75">
      <c r="A14" s="296" t="s">
        <v>261</v>
      </c>
      <c r="B14" s="1302"/>
      <c r="C14" s="145" t="s">
        <v>255</v>
      </c>
      <c r="D14" s="145"/>
      <c r="E14" s="145"/>
      <c r="F14" s="145"/>
      <c r="G14" s="145"/>
      <c r="H14" s="145">
        <v>40</v>
      </c>
      <c r="I14" s="145">
        <v>0</v>
      </c>
      <c r="J14" s="145">
        <v>0</v>
      </c>
      <c r="K14" s="1330"/>
      <c r="L14" s="145"/>
      <c r="M14" s="145"/>
      <c r="N14" s="145"/>
      <c r="O14" s="145"/>
      <c r="P14" s="145"/>
      <c r="Q14" s="145"/>
      <c r="R14" s="145"/>
      <c r="S14" s="145"/>
      <c r="T14" s="844">
        <v>109</v>
      </c>
      <c r="U14" s="844">
        <v>0</v>
      </c>
      <c r="V14" s="844">
        <v>100</v>
      </c>
      <c r="W14" s="1332"/>
      <c r="X14" s="2">
        <v>0</v>
      </c>
      <c r="Y14" s="2">
        <v>600</v>
      </c>
      <c r="Z14" s="2">
        <v>84</v>
      </c>
      <c r="AA14" s="1335"/>
      <c r="AB14" s="2"/>
      <c r="AC14" s="2"/>
      <c r="AD14" s="2"/>
      <c r="AE14" s="2"/>
      <c r="AF14" s="2"/>
      <c r="AG14" s="2"/>
      <c r="AH14" s="2"/>
      <c r="AI14" s="2"/>
      <c r="AJ14" s="1062"/>
      <c r="AK14" s="1062"/>
      <c r="AL14" s="1062"/>
      <c r="AM14" s="1334"/>
      <c r="AN14" s="2"/>
      <c r="AO14" s="2"/>
      <c r="AP14" s="2">
        <v>21000</v>
      </c>
      <c r="AQ14" s="1335"/>
      <c r="AR14" s="145"/>
      <c r="AS14" s="145"/>
      <c r="AT14" s="145"/>
      <c r="AU14" s="145"/>
      <c r="AV14" s="68"/>
      <c r="AW14" s="68"/>
      <c r="AX14" s="68"/>
      <c r="AY14" s="68"/>
      <c r="AZ14" s="121"/>
    </row>
    <row r="15" spans="1:52" s="393" customFormat="1" ht="30">
      <c r="A15" s="296" t="s">
        <v>262</v>
      </c>
      <c r="B15" s="1302"/>
      <c r="C15" s="145" t="s">
        <v>256</v>
      </c>
      <c r="D15" s="145"/>
      <c r="E15" s="145"/>
      <c r="F15" s="145"/>
      <c r="G15" s="145"/>
      <c r="H15" s="145"/>
      <c r="I15" s="145"/>
      <c r="J15" s="145"/>
      <c r="K15" s="1330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2">
        <v>0</v>
      </c>
      <c r="Y15" s="2">
        <v>0</v>
      </c>
      <c r="Z15" s="2">
        <v>20</v>
      </c>
      <c r="AA15" s="1335"/>
      <c r="AB15" s="2"/>
      <c r="AC15" s="2"/>
      <c r="AD15" s="2"/>
      <c r="AE15" s="2"/>
      <c r="AF15" s="2"/>
      <c r="AG15" s="2"/>
      <c r="AH15" s="2"/>
      <c r="AI15" s="2"/>
      <c r="AJ15" s="1062"/>
      <c r="AK15" s="1062"/>
      <c r="AL15" s="1062"/>
      <c r="AM15" s="1334"/>
      <c r="AN15" s="2"/>
      <c r="AO15" s="2"/>
      <c r="AP15" s="2"/>
      <c r="AQ15" s="2"/>
      <c r="AR15" s="145">
        <v>720</v>
      </c>
      <c r="AS15" s="145">
        <v>0</v>
      </c>
      <c r="AT15" s="145">
        <v>720</v>
      </c>
      <c r="AU15" s="145">
        <v>1.4</v>
      </c>
      <c r="AV15" s="68" t="s">
        <v>35</v>
      </c>
      <c r="AW15" s="145">
        <v>16</v>
      </c>
      <c r="AX15" s="68" t="s">
        <v>311</v>
      </c>
      <c r="AY15" s="68" t="s">
        <v>306</v>
      </c>
      <c r="AZ15" s="121" t="s">
        <v>335</v>
      </c>
    </row>
    <row r="16" spans="1:52" s="393" customFormat="1" ht="15.75">
      <c r="A16" s="186" t="s">
        <v>263</v>
      </c>
      <c r="B16" s="1302"/>
      <c r="C16" s="145" t="s">
        <v>257</v>
      </c>
      <c r="D16" s="145"/>
      <c r="E16" s="145"/>
      <c r="F16" s="145"/>
      <c r="G16" s="145"/>
      <c r="H16" s="145"/>
      <c r="I16" s="145"/>
      <c r="J16" s="145"/>
      <c r="K16" s="1330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2">
        <v>0</v>
      </c>
      <c r="Y16" s="2">
        <v>0</v>
      </c>
      <c r="Z16" s="2">
        <v>20</v>
      </c>
      <c r="AA16" s="1335"/>
      <c r="AB16" s="2"/>
      <c r="AC16" s="2"/>
      <c r="AD16" s="2"/>
      <c r="AE16" s="2"/>
      <c r="AF16" s="2"/>
      <c r="AG16" s="2"/>
      <c r="AH16" s="2"/>
      <c r="AI16" s="2"/>
      <c r="AJ16" s="1062"/>
      <c r="AK16" s="1062"/>
      <c r="AL16" s="1062"/>
      <c r="AM16" s="1334"/>
      <c r="AN16" s="2"/>
      <c r="AO16" s="2"/>
      <c r="AP16" s="2"/>
      <c r="AQ16" s="2"/>
      <c r="AR16" s="79"/>
      <c r="AS16" s="79"/>
      <c r="AT16" s="79"/>
      <c r="AU16" s="79"/>
      <c r="AV16" s="68"/>
      <c r="AW16" s="68"/>
      <c r="AX16" s="68"/>
      <c r="AY16" s="68"/>
      <c r="AZ16" s="121"/>
    </row>
    <row r="17" spans="1:52" s="393" customFormat="1" ht="30">
      <c r="A17" s="186" t="s">
        <v>1272</v>
      </c>
      <c r="B17" s="1302"/>
      <c r="C17" s="145" t="s">
        <v>1273</v>
      </c>
      <c r="D17" s="145"/>
      <c r="E17" s="145"/>
      <c r="F17" s="145"/>
      <c r="G17" s="145"/>
      <c r="H17" s="91">
        <v>40</v>
      </c>
      <c r="I17" s="91">
        <v>0</v>
      </c>
      <c r="J17" s="91">
        <v>0</v>
      </c>
      <c r="K17" s="1330"/>
      <c r="L17" s="145"/>
      <c r="M17" s="145"/>
      <c r="N17" s="145"/>
      <c r="O17" s="145"/>
      <c r="P17" s="145"/>
      <c r="Q17" s="145"/>
      <c r="R17" s="145"/>
      <c r="S17" s="91">
        <v>1</v>
      </c>
      <c r="T17" s="145"/>
      <c r="U17" s="145"/>
      <c r="V17" s="145"/>
      <c r="W17" s="145"/>
      <c r="X17" s="2">
        <v>0</v>
      </c>
      <c r="Y17" s="2">
        <v>0</v>
      </c>
      <c r="Z17" s="2">
        <v>20</v>
      </c>
      <c r="AA17" s="1335"/>
      <c r="AB17" s="2"/>
      <c r="AC17" s="2"/>
      <c r="AD17" s="2"/>
      <c r="AE17" s="2"/>
      <c r="AF17" s="2"/>
      <c r="AG17" s="2"/>
      <c r="AH17" s="2">
        <v>30</v>
      </c>
      <c r="AI17" s="2">
        <v>1.52</v>
      </c>
      <c r="AJ17" s="1062"/>
      <c r="AK17" s="1062"/>
      <c r="AL17" s="1062"/>
      <c r="AM17" s="1334"/>
      <c r="AN17" s="2"/>
      <c r="AO17" s="2"/>
      <c r="AP17" s="2"/>
      <c r="AQ17" s="2"/>
      <c r="AR17" s="145"/>
      <c r="AS17" s="145"/>
      <c r="AT17" s="145"/>
      <c r="AU17" s="145">
        <v>0.5</v>
      </c>
      <c r="AV17" s="68"/>
      <c r="AW17" s="68"/>
      <c r="AX17" s="68"/>
      <c r="AY17" s="68"/>
      <c r="AZ17" s="121"/>
    </row>
    <row r="18" spans="1:52" s="393" customFormat="1" ht="15.75">
      <c r="A18" s="186" t="s">
        <v>1274</v>
      </c>
      <c r="B18" s="1302"/>
      <c r="C18" s="145" t="s">
        <v>882</v>
      </c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335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145">
        <v>650</v>
      </c>
      <c r="AS18" s="145">
        <v>0</v>
      </c>
      <c r="AT18" s="145">
        <v>650</v>
      </c>
      <c r="AU18" s="145">
        <v>0.9</v>
      </c>
      <c r="AV18" s="68"/>
      <c r="AW18" s="68"/>
      <c r="AX18" s="68"/>
      <c r="AY18" s="68"/>
      <c r="AZ18" s="121"/>
    </row>
    <row r="19" spans="1:52" s="393" customFormat="1" ht="60">
      <c r="A19" s="186" t="s">
        <v>712</v>
      </c>
      <c r="B19" s="1336" t="s">
        <v>713</v>
      </c>
      <c r="C19" s="145" t="s">
        <v>714</v>
      </c>
      <c r="D19" s="145"/>
      <c r="E19" s="145"/>
      <c r="F19" s="145"/>
      <c r="G19" s="145"/>
      <c r="H19" s="1062">
        <v>1</v>
      </c>
      <c r="I19" s="1062">
        <v>0</v>
      </c>
      <c r="J19" s="1062">
        <v>30</v>
      </c>
      <c r="K19" s="1330">
        <v>1.5</v>
      </c>
      <c r="L19" s="145"/>
      <c r="M19" s="145"/>
      <c r="N19" s="145"/>
      <c r="O19" s="145"/>
      <c r="P19" s="145"/>
      <c r="Q19" s="145"/>
      <c r="R19" s="145"/>
      <c r="S19" s="145"/>
      <c r="T19" s="145">
        <v>2400</v>
      </c>
      <c r="U19" s="145">
        <v>1940</v>
      </c>
      <c r="V19" s="145">
        <v>6375</v>
      </c>
      <c r="W19" s="145">
        <v>50</v>
      </c>
      <c r="X19" s="2">
        <v>0</v>
      </c>
      <c r="Y19" s="2">
        <v>0</v>
      </c>
      <c r="Z19" s="2">
        <v>4018</v>
      </c>
      <c r="AA19" s="2">
        <v>23</v>
      </c>
      <c r="AB19" s="55">
        <v>960</v>
      </c>
      <c r="AC19" s="845">
        <v>0</v>
      </c>
      <c r="AD19" s="55">
        <f>'[1]DCP'!I8*'[1]DCP'!J8</f>
        <v>1650</v>
      </c>
      <c r="AE19" s="55">
        <v>10</v>
      </c>
      <c r="AF19" s="230">
        <v>660</v>
      </c>
      <c r="AG19" s="230">
        <v>668</v>
      </c>
      <c r="AH19" s="2">
        <v>480</v>
      </c>
      <c r="AI19" s="9">
        <v>15.1</v>
      </c>
      <c r="AJ19" s="9"/>
      <c r="AK19" s="9"/>
      <c r="AL19" s="9"/>
      <c r="AM19" s="9"/>
      <c r="AN19" s="9"/>
      <c r="AO19" s="9"/>
      <c r="AP19" s="9"/>
      <c r="AQ19" s="9"/>
      <c r="AR19" s="145">
        <v>20</v>
      </c>
      <c r="AS19" s="145">
        <v>0</v>
      </c>
      <c r="AT19" s="145"/>
      <c r="AU19" s="145">
        <v>10</v>
      </c>
      <c r="AV19" s="204" t="s">
        <v>35</v>
      </c>
      <c r="AW19" s="68" t="s">
        <v>719</v>
      </c>
      <c r="AX19" s="112" t="s">
        <v>720</v>
      </c>
      <c r="AY19" s="204" t="s">
        <v>306</v>
      </c>
      <c r="AZ19" s="332" t="s">
        <v>306</v>
      </c>
    </row>
    <row r="20" spans="1:52" s="393" customFormat="1" ht="60">
      <c r="A20" s="186" t="s">
        <v>715</v>
      </c>
      <c r="B20" s="1336"/>
      <c r="C20" s="145" t="s">
        <v>716</v>
      </c>
      <c r="D20" s="145"/>
      <c r="E20" s="145"/>
      <c r="F20" s="145"/>
      <c r="G20" s="145"/>
      <c r="H20" s="1062"/>
      <c r="I20" s="1062"/>
      <c r="J20" s="1062"/>
      <c r="K20" s="1330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2">
        <v>0</v>
      </c>
      <c r="Y20" s="2">
        <v>0</v>
      </c>
      <c r="Z20" s="2">
        <v>300</v>
      </c>
      <c r="AA20" s="2">
        <v>15</v>
      </c>
      <c r="AB20" s="55">
        <v>360</v>
      </c>
      <c r="AC20" s="845">
        <v>0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145">
        <v>13.5</v>
      </c>
      <c r="AS20" s="145">
        <v>0</v>
      </c>
      <c r="AT20" s="145"/>
      <c r="AU20" s="145">
        <v>6.5</v>
      </c>
      <c r="AV20" s="204" t="s">
        <v>35</v>
      </c>
      <c r="AW20" s="68" t="s">
        <v>719</v>
      </c>
      <c r="AX20" s="112" t="s">
        <v>720</v>
      </c>
      <c r="AY20" s="204" t="s">
        <v>306</v>
      </c>
      <c r="AZ20" s="332" t="s">
        <v>306</v>
      </c>
    </row>
    <row r="21" spans="1:52" s="847" customFormat="1" ht="15.75">
      <c r="A21" s="186" t="s">
        <v>964</v>
      </c>
      <c r="B21" s="1336"/>
      <c r="C21" s="333" t="s">
        <v>1275</v>
      </c>
      <c r="D21" s="333"/>
      <c r="E21" s="333"/>
      <c r="F21" s="333"/>
      <c r="G21" s="333"/>
      <c r="H21" s="1062"/>
      <c r="I21" s="1062"/>
      <c r="J21" s="1062"/>
      <c r="K21" s="1330"/>
      <c r="L21" s="145"/>
      <c r="M21" s="145"/>
      <c r="N21" s="145"/>
      <c r="O21" s="145"/>
      <c r="P21" s="333"/>
      <c r="Q21" s="333"/>
      <c r="R21" s="333"/>
      <c r="S21" s="333"/>
      <c r="T21" s="334">
        <v>1</v>
      </c>
      <c r="U21" s="334">
        <v>1</v>
      </c>
      <c r="V21" s="844"/>
      <c r="W21" s="844">
        <v>7</v>
      </c>
      <c r="X21" s="2">
        <v>0</v>
      </c>
      <c r="Y21" s="2">
        <v>0</v>
      </c>
      <c r="Z21" s="2">
        <v>210</v>
      </c>
      <c r="AA21" s="2">
        <v>2</v>
      </c>
      <c r="AB21" s="145">
        <v>40</v>
      </c>
      <c r="AC21" s="145">
        <v>0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145">
        <v>10</v>
      </c>
      <c r="AS21" s="145">
        <v>0</v>
      </c>
      <c r="AT21" s="145"/>
      <c r="AU21" s="145">
        <v>5</v>
      </c>
      <c r="AV21" s="845" t="s">
        <v>575</v>
      </c>
      <c r="AW21" s="845" t="s">
        <v>575</v>
      </c>
      <c r="AX21" s="845" t="s">
        <v>575</v>
      </c>
      <c r="AY21" s="845" t="s">
        <v>575</v>
      </c>
      <c r="AZ21" s="846" t="s">
        <v>575</v>
      </c>
    </row>
    <row r="22" spans="1:52" s="393" customFormat="1" ht="75">
      <c r="A22" s="186" t="s">
        <v>717</v>
      </c>
      <c r="B22" s="1336"/>
      <c r="C22" s="145" t="s">
        <v>718</v>
      </c>
      <c r="D22" s="145"/>
      <c r="E22" s="145"/>
      <c r="F22" s="145"/>
      <c r="G22" s="145"/>
      <c r="H22" s="1062"/>
      <c r="I22" s="1062"/>
      <c r="J22" s="1062"/>
      <c r="K22" s="1330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844">
        <v>30.21</v>
      </c>
      <c r="X22" s="2" t="s">
        <v>575</v>
      </c>
      <c r="Y22" s="2"/>
      <c r="Z22" s="2">
        <v>48600</v>
      </c>
      <c r="AA22" s="2">
        <v>41</v>
      </c>
      <c r="AB22" s="204">
        <v>33602</v>
      </c>
      <c r="AC22" s="204">
        <v>34541</v>
      </c>
      <c r="AD22" s="204">
        <v>1965</v>
      </c>
      <c r="AE22" s="204">
        <v>10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145">
        <v>120</v>
      </c>
      <c r="AS22" s="145">
        <v>0</v>
      </c>
      <c r="AT22" s="145"/>
      <c r="AU22" s="145">
        <v>30</v>
      </c>
      <c r="AV22" s="204" t="s">
        <v>35</v>
      </c>
      <c r="AW22" s="68" t="s">
        <v>719</v>
      </c>
      <c r="AX22" s="112" t="s">
        <v>720</v>
      </c>
      <c r="AY22" s="204" t="s">
        <v>306</v>
      </c>
      <c r="AZ22" s="332" t="s">
        <v>306</v>
      </c>
    </row>
    <row r="23" spans="1:52" s="393" customFormat="1" ht="15.75">
      <c r="A23" s="186" t="s">
        <v>1276</v>
      </c>
      <c r="B23" s="1336"/>
      <c r="C23" s="145" t="s">
        <v>1277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>
        <v>2.44</v>
      </c>
      <c r="AS23" s="145">
        <v>0</v>
      </c>
      <c r="AT23" s="145"/>
      <c r="AU23" s="145">
        <v>1</v>
      </c>
      <c r="AV23" s="848"/>
      <c r="AW23" s="848"/>
      <c r="AX23" s="848"/>
      <c r="AY23" s="848"/>
      <c r="AZ23" s="849"/>
    </row>
    <row r="24" spans="1:52" s="393" customFormat="1" ht="15.75">
      <c r="A24" s="322" t="s">
        <v>1278</v>
      </c>
      <c r="B24" s="152" t="s">
        <v>1279</v>
      </c>
      <c r="C24" s="145" t="s">
        <v>479</v>
      </c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>
        <v>9000</v>
      </c>
      <c r="AU24" s="145">
        <v>9</v>
      </c>
      <c r="AV24" s="848"/>
      <c r="AW24" s="848"/>
      <c r="AX24" s="848"/>
      <c r="AY24" s="848"/>
      <c r="AZ24" s="849"/>
    </row>
    <row r="25" spans="1:52" s="393" customFormat="1" ht="45" customHeight="1">
      <c r="A25" s="322" t="s">
        <v>722</v>
      </c>
      <c r="B25" s="1307" t="s">
        <v>723</v>
      </c>
      <c r="C25" s="145" t="s">
        <v>724</v>
      </c>
      <c r="D25" s="145"/>
      <c r="E25" s="145"/>
      <c r="F25" s="145"/>
      <c r="G25" s="145"/>
      <c r="H25" s="176">
        <v>0</v>
      </c>
      <c r="I25" s="176">
        <v>0</v>
      </c>
      <c r="J25" s="176">
        <v>30</v>
      </c>
      <c r="K25" s="30">
        <v>0.54</v>
      </c>
      <c r="L25" s="145"/>
      <c r="M25" s="145"/>
      <c r="N25" s="145"/>
      <c r="O25" s="145"/>
      <c r="P25" s="145"/>
      <c r="Q25" s="145"/>
      <c r="R25" s="145"/>
      <c r="S25" s="145"/>
      <c r="T25" s="334">
        <v>30</v>
      </c>
      <c r="U25" s="334">
        <v>0</v>
      </c>
      <c r="V25" s="334"/>
      <c r="W25" s="334">
        <v>19.2</v>
      </c>
      <c r="X25" s="145"/>
      <c r="Y25" s="145"/>
      <c r="Z25" s="145"/>
      <c r="AA25" s="145"/>
      <c r="AB25" s="55">
        <v>1020</v>
      </c>
      <c r="AC25" s="845">
        <v>0</v>
      </c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>
        <v>48.8</v>
      </c>
      <c r="AS25" s="145"/>
      <c r="AT25" s="145">
        <v>4500</v>
      </c>
      <c r="AU25" s="145">
        <v>48.8</v>
      </c>
      <c r="AV25" s="145" t="s">
        <v>35</v>
      </c>
      <c r="AW25" s="145" t="s">
        <v>719</v>
      </c>
      <c r="AX25" s="145" t="s">
        <v>1280</v>
      </c>
      <c r="AY25" s="145" t="s">
        <v>306</v>
      </c>
      <c r="AZ25" s="116" t="s">
        <v>306</v>
      </c>
    </row>
    <row r="26" spans="1:52" s="393" customFormat="1" ht="15.75">
      <c r="A26" s="322" t="s">
        <v>725</v>
      </c>
      <c r="B26" s="1307"/>
      <c r="C26" s="145" t="s">
        <v>726</v>
      </c>
      <c r="D26" s="145">
        <v>0</v>
      </c>
      <c r="E26" s="145">
        <v>111</v>
      </c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 t="s">
        <v>35</v>
      </c>
      <c r="AW26" s="145" t="s">
        <v>719</v>
      </c>
      <c r="AX26" s="145"/>
      <c r="AY26" s="145" t="s">
        <v>306</v>
      </c>
      <c r="AZ26" s="116" t="s">
        <v>306</v>
      </c>
    </row>
    <row r="27" spans="1:52" s="393" customFormat="1" ht="15.75">
      <c r="A27" s="322" t="s">
        <v>820</v>
      </c>
      <c r="B27" s="1307"/>
      <c r="C27" s="145" t="s">
        <v>822</v>
      </c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334">
        <v>30</v>
      </c>
      <c r="U27" s="334">
        <v>0</v>
      </c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16"/>
    </row>
    <row r="28" spans="1:52" s="393" customFormat="1" ht="30">
      <c r="A28" s="322" t="s">
        <v>727</v>
      </c>
      <c r="B28" s="1307"/>
      <c r="C28" s="145" t="s">
        <v>728</v>
      </c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 t="s">
        <v>35</v>
      </c>
      <c r="AW28" s="145" t="s">
        <v>719</v>
      </c>
      <c r="AX28" s="145"/>
      <c r="AY28" s="145" t="s">
        <v>306</v>
      </c>
      <c r="AZ28" s="116" t="s">
        <v>306</v>
      </c>
    </row>
    <row r="29" spans="1:52" s="393" customFormat="1" ht="30">
      <c r="A29" s="322" t="s">
        <v>729</v>
      </c>
      <c r="B29" s="1307"/>
      <c r="C29" s="145" t="s">
        <v>730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 t="s">
        <v>35</v>
      </c>
      <c r="AW29" s="145" t="s">
        <v>719</v>
      </c>
      <c r="AX29" s="145"/>
      <c r="AY29" s="145" t="s">
        <v>306</v>
      </c>
      <c r="AZ29" s="116" t="s">
        <v>306</v>
      </c>
    </row>
    <row r="30" spans="1:52" s="393" customFormat="1" ht="30">
      <c r="A30" s="322" t="s">
        <v>731</v>
      </c>
      <c r="B30" s="1307"/>
      <c r="C30" s="145" t="s">
        <v>732</v>
      </c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 t="s">
        <v>35</v>
      </c>
      <c r="AW30" s="145" t="s">
        <v>719</v>
      </c>
      <c r="AX30" s="145"/>
      <c r="AY30" s="145" t="s">
        <v>306</v>
      </c>
      <c r="AZ30" s="116" t="s">
        <v>306</v>
      </c>
    </row>
    <row r="31" spans="1:52" s="393" customFormat="1" ht="15">
      <c r="A31" s="1329" t="s">
        <v>587</v>
      </c>
      <c r="B31" s="1302" t="s">
        <v>588</v>
      </c>
      <c r="C31" s="145" t="s">
        <v>563</v>
      </c>
      <c r="D31" s="145"/>
      <c r="E31" s="145"/>
      <c r="F31" s="145">
        <v>1200</v>
      </c>
      <c r="G31" s="1062">
        <v>60.17</v>
      </c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>
        <v>150</v>
      </c>
      <c r="Y31" s="145">
        <v>83</v>
      </c>
      <c r="Z31" s="145"/>
      <c r="AA31" s="145"/>
      <c r="AB31" s="145">
        <v>80</v>
      </c>
      <c r="AC31" s="145"/>
      <c r="AD31" s="145">
        <v>20000</v>
      </c>
      <c r="AE31" s="145">
        <v>156.9262</v>
      </c>
      <c r="AF31" s="145"/>
      <c r="AG31" s="145"/>
      <c r="AH31" s="145"/>
      <c r="AI31" s="145"/>
      <c r="AJ31" s="145">
        <v>2578</v>
      </c>
      <c r="AK31" s="145">
        <v>843</v>
      </c>
      <c r="AL31" s="145">
        <v>3100</v>
      </c>
      <c r="AM31" s="1330">
        <v>125.737</v>
      </c>
      <c r="AN31" s="145"/>
      <c r="AO31" s="145"/>
      <c r="AP31" s="1062">
        <v>34059</v>
      </c>
      <c r="AQ31" s="1062">
        <v>60.2</v>
      </c>
      <c r="AR31" s="145"/>
      <c r="AS31" s="145"/>
      <c r="AT31" s="145"/>
      <c r="AU31" s="145"/>
      <c r="AV31" s="145" t="s">
        <v>71</v>
      </c>
      <c r="AW31" s="145" t="s">
        <v>1281</v>
      </c>
      <c r="AX31" s="145" t="s">
        <v>86</v>
      </c>
      <c r="AY31" s="145" t="s">
        <v>306</v>
      </c>
      <c r="AZ31" s="116" t="s">
        <v>306</v>
      </c>
    </row>
    <row r="32" spans="1:52" s="393" customFormat="1" ht="45">
      <c r="A32" s="1329"/>
      <c r="B32" s="1302"/>
      <c r="C32" s="145" t="s">
        <v>721</v>
      </c>
      <c r="D32" s="145"/>
      <c r="E32" s="145"/>
      <c r="F32" s="145">
        <f>225+135+125</f>
        <v>485</v>
      </c>
      <c r="G32" s="1062"/>
      <c r="H32" s="176">
        <v>0</v>
      </c>
      <c r="I32" s="176">
        <v>0</v>
      </c>
      <c r="J32" s="91">
        <v>30</v>
      </c>
      <c r="K32" s="129">
        <v>4</v>
      </c>
      <c r="L32" s="2">
        <v>0</v>
      </c>
      <c r="M32" s="2">
        <v>0</v>
      </c>
      <c r="N32" s="2" t="s">
        <v>610</v>
      </c>
      <c r="O32" s="2">
        <v>143.7738</v>
      </c>
      <c r="P32" s="145"/>
      <c r="Q32" s="145"/>
      <c r="R32" s="145"/>
      <c r="S32" s="91">
        <v>18</v>
      </c>
      <c r="T32" s="145"/>
      <c r="U32" s="145"/>
      <c r="V32" s="145"/>
      <c r="W32" s="850">
        <v>120.5856</v>
      </c>
      <c r="X32" s="145">
        <v>525</v>
      </c>
      <c r="Y32" s="145">
        <v>89</v>
      </c>
      <c r="Z32" s="145"/>
      <c r="AA32" s="145"/>
      <c r="AB32" s="145"/>
      <c r="AC32" s="145"/>
      <c r="AD32" s="145"/>
      <c r="AE32" s="145"/>
      <c r="AF32" s="145"/>
      <c r="AG32" s="145"/>
      <c r="AH32" s="145" t="s">
        <v>575</v>
      </c>
      <c r="AI32" s="91">
        <v>25</v>
      </c>
      <c r="AJ32" s="145">
        <v>12569</v>
      </c>
      <c r="AK32" s="145">
        <v>4621</v>
      </c>
      <c r="AL32" s="145">
        <v>8880</v>
      </c>
      <c r="AM32" s="1330"/>
      <c r="AN32" s="145"/>
      <c r="AO32" s="91"/>
      <c r="AP32" s="1062"/>
      <c r="AQ32" s="1062"/>
      <c r="AR32" s="145"/>
      <c r="AS32" s="145"/>
      <c r="AT32" s="145"/>
      <c r="AU32" s="145">
        <v>124.98</v>
      </c>
      <c r="AV32" s="145" t="s">
        <v>589</v>
      </c>
      <c r="AW32" s="145">
        <v>15</v>
      </c>
      <c r="AX32" s="145" t="s">
        <v>1282</v>
      </c>
      <c r="AY32" s="145" t="s">
        <v>306</v>
      </c>
      <c r="AZ32" s="116" t="s">
        <v>306</v>
      </c>
    </row>
    <row r="33" spans="1:52" s="393" customFormat="1" ht="60">
      <c r="A33" s="202" t="s">
        <v>598</v>
      </c>
      <c r="B33" s="152" t="s">
        <v>189</v>
      </c>
      <c r="C33" s="145" t="s">
        <v>599</v>
      </c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851">
        <v>2</v>
      </c>
      <c r="U33" s="851">
        <v>0</v>
      </c>
      <c r="V33" s="852">
        <v>2</v>
      </c>
      <c r="W33" s="853">
        <v>2</v>
      </c>
      <c r="X33" s="145"/>
      <c r="Y33" s="145"/>
      <c r="Z33" s="145"/>
      <c r="AA33" s="2">
        <v>2</v>
      </c>
      <c r="AB33" s="2"/>
      <c r="AC33" s="2"/>
      <c r="AD33" s="2"/>
      <c r="AE33" s="2"/>
      <c r="AF33" s="2"/>
      <c r="AG33" s="2"/>
      <c r="AH33" s="145" t="s">
        <v>575</v>
      </c>
      <c r="AI33" s="91">
        <v>2</v>
      </c>
      <c r="AJ33" s="145" t="s">
        <v>1157</v>
      </c>
      <c r="AK33" s="145" t="s">
        <v>1157</v>
      </c>
      <c r="AL33" s="145" t="s">
        <v>1157</v>
      </c>
      <c r="AM33" s="145">
        <v>2</v>
      </c>
      <c r="AN33" s="91"/>
      <c r="AO33" s="91"/>
      <c r="AP33" s="145">
        <v>136</v>
      </c>
      <c r="AQ33" s="145">
        <v>2</v>
      </c>
      <c r="AR33" s="145"/>
      <c r="AS33" s="145"/>
      <c r="AT33" s="145">
        <v>490</v>
      </c>
      <c r="AU33" s="145">
        <v>2</v>
      </c>
      <c r="AV33" s="145" t="s">
        <v>35</v>
      </c>
      <c r="AW33" s="145">
        <v>10</v>
      </c>
      <c r="AX33" s="145" t="s">
        <v>578</v>
      </c>
      <c r="AY33" s="145" t="s">
        <v>306</v>
      </c>
      <c r="AZ33" s="116" t="s">
        <v>306</v>
      </c>
    </row>
    <row r="34" spans="1:52" s="393" customFormat="1" ht="15.75">
      <c r="A34" s="202" t="s">
        <v>600</v>
      </c>
      <c r="B34" s="152" t="s">
        <v>601</v>
      </c>
      <c r="C34" s="145" t="s">
        <v>1283</v>
      </c>
      <c r="D34" s="145"/>
      <c r="E34" s="145"/>
      <c r="F34" s="145"/>
      <c r="G34" s="145"/>
      <c r="H34" s="91">
        <v>1</v>
      </c>
      <c r="I34" s="91">
        <v>0</v>
      </c>
      <c r="J34" s="91">
        <v>70</v>
      </c>
      <c r="K34" s="129">
        <v>4</v>
      </c>
      <c r="L34" s="145"/>
      <c r="M34" s="145"/>
      <c r="N34" s="145"/>
      <c r="O34" s="145"/>
      <c r="P34" s="145"/>
      <c r="Q34" s="145"/>
      <c r="R34" s="145"/>
      <c r="S34" s="145"/>
      <c r="T34" s="854">
        <v>0</v>
      </c>
      <c r="U34" s="854">
        <v>0</v>
      </c>
      <c r="V34" s="852"/>
      <c r="W34" s="853">
        <v>4</v>
      </c>
      <c r="X34" s="145"/>
      <c r="Y34" s="145"/>
      <c r="Z34" s="145"/>
      <c r="AA34" s="145"/>
      <c r="AB34" s="55">
        <v>14391</v>
      </c>
      <c r="AC34" s="145">
        <v>1618</v>
      </c>
      <c r="AD34" s="55"/>
      <c r="AE34" s="5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 t="s">
        <v>575</v>
      </c>
      <c r="AW34" s="145" t="s">
        <v>575</v>
      </c>
      <c r="AX34" s="145" t="s">
        <v>575</v>
      </c>
      <c r="AY34" s="145" t="s">
        <v>575</v>
      </c>
      <c r="AZ34" s="116" t="s">
        <v>575</v>
      </c>
    </row>
    <row r="35" spans="1:52" s="393" customFormat="1" ht="63">
      <c r="A35" s="202" t="s">
        <v>823</v>
      </c>
      <c r="B35" s="152" t="s">
        <v>824</v>
      </c>
      <c r="C35" s="2" t="s">
        <v>825</v>
      </c>
      <c r="D35" s="55"/>
      <c r="E35" s="145"/>
      <c r="F35" s="55">
        <v>400</v>
      </c>
      <c r="G35" s="145">
        <v>6.4</v>
      </c>
      <c r="H35" s="2"/>
      <c r="I35" s="2"/>
      <c r="J35" s="2"/>
      <c r="K35" s="2"/>
      <c r="L35" s="145"/>
      <c r="M35" s="145"/>
      <c r="N35" s="145"/>
      <c r="O35" s="145"/>
      <c r="P35" s="2"/>
      <c r="Q35" s="2"/>
      <c r="R35" s="2"/>
      <c r="S35" s="2"/>
      <c r="T35" s="854">
        <v>5</v>
      </c>
      <c r="U35" s="854">
        <v>5</v>
      </c>
      <c r="V35" s="852"/>
      <c r="W35" s="853">
        <v>10</v>
      </c>
      <c r="X35" s="2"/>
      <c r="Y35" s="2"/>
      <c r="Z35" s="2"/>
      <c r="AA35" s="2"/>
      <c r="AB35" s="55">
        <v>180</v>
      </c>
      <c r="AC35" s="145"/>
      <c r="AD35" s="55">
        <v>390</v>
      </c>
      <c r="AE35" s="55">
        <v>2.4</v>
      </c>
      <c r="AF35" s="2"/>
      <c r="AG35" s="2"/>
      <c r="AH35" s="145" t="s">
        <v>575</v>
      </c>
      <c r="AI35" s="2">
        <v>8.8</v>
      </c>
      <c r="AJ35" s="2"/>
      <c r="AK35" s="2"/>
      <c r="AL35" s="2"/>
      <c r="AM35" s="2"/>
      <c r="AN35" s="2"/>
      <c r="AO35" s="2"/>
      <c r="AP35" s="2">
        <v>293</v>
      </c>
      <c r="AQ35" s="2">
        <v>4</v>
      </c>
      <c r="AR35" s="145"/>
      <c r="AS35" s="145"/>
      <c r="AT35" s="145"/>
      <c r="AU35" s="145">
        <v>6.4</v>
      </c>
      <c r="AV35" s="145"/>
      <c r="AW35" s="145"/>
      <c r="AX35" s="145"/>
      <c r="AY35" s="145"/>
      <c r="AZ35" s="116"/>
    </row>
    <row r="36" spans="1:52" s="393" customFormat="1" ht="47.25">
      <c r="A36" s="202" t="s">
        <v>1284</v>
      </c>
      <c r="B36" s="855" t="s">
        <v>1285</v>
      </c>
      <c r="C36" s="335"/>
      <c r="D36" s="335"/>
      <c r="E36" s="335"/>
      <c r="F36" s="335"/>
      <c r="G36" s="335"/>
      <c r="H36" s="335"/>
      <c r="I36" s="335"/>
      <c r="J36" s="335"/>
      <c r="K36" s="335"/>
      <c r="L36" s="145"/>
      <c r="M36" s="145"/>
      <c r="N36" s="145"/>
      <c r="O36" s="145"/>
      <c r="P36" s="335"/>
      <c r="Q36" s="335"/>
      <c r="R36" s="335"/>
      <c r="S36" s="335"/>
      <c r="T36" s="854">
        <v>5</v>
      </c>
      <c r="U36" s="854">
        <v>5</v>
      </c>
      <c r="V36" s="852"/>
      <c r="W36" s="853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45"/>
      <c r="AS36" s="145"/>
      <c r="AT36" s="145"/>
      <c r="AU36" s="145"/>
      <c r="AV36" s="145"/>
      <c r="AW36" s="145"/>
      <c r="AX36" s="145"/>
      <c r="AY36" s="145"/>
      <c r="AZ36" s="116"/>
    </row>
    <row r="37" spans="1:52" s="393" customFormat="1" ht="63">
      <c r="A37" s="856" t="s">
        <v>1286</v>
      </c>
      <c r="B37" s="855" t="s">
        <v>1287</v>
      </c>
      <c r="C37" s="335"/>
      <c r="D37" s="335"/>
      <c r="E37" s="335"/>
      <c r="F37" s="335"/>
      <c r="G37" s="335"/>
      <c r="H37" s="335"/>
      <c r="I37" s="335"/>
      <c r="J37" s="335"/>
      <c r="K37" s="335"/>
      <c r="L37" s="145"/>
      <c r="M37" s="145"/>
      <c r="N37" s="145"/>
      <c r="O37" s="145"/>
      <c r="P37" s="335"/>
      <c r="Q37" s="335"/>
      <c r="R37" s="335"/>
      <c r="S37" s="335"/>
      <c r="T37" s="854"/>
      <c r="U37" s="854"/>
      <c r="V37" s="852"/>
      <c r="W37" s="853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145"/>
      <c r="AS37" s="145"/>
      <c r="AT37" s="145"/>
      <c r="AU37" s="145"/>
      <c r="AV37" s="145"/>
      <c r="AW37" s="145"/>
      <c r="AX37" s="145"/>
      <c r="AY37" s="145"/>
      <c r="AZ37" s="116"/>
    </row>
    <row r="38" spans="1:52" s="393" customFormat="1" ht="47.25">
      <c r="A38" s="856" t="s">
        <v>1288</v>
      </c>
      <c r="B38" s="855" t="s">
        <v>1289</v>
      </c>
      <c r="C38" s="335"/>
      <c r="D38" s="335"/>
      <c r="E38" s="335"/>
      <c r="F38" s="335"/>
      <c r="G38" s="335"/>
      <c r="H38" s="335"/>
      <c r="I38" s="335"/>
      <c r="J38" s="335"/>
      <c r="K38" s="335"/>
      <c r="L38" s="145"/>
      <c r="M38" s="145"/>
      <c r="N38" s="145"/>
      <c r="O38" s="145"/>
      <c r="P38" s="335"/>
      <c r="Q38" s="335"/>
      <c r="R38" s="335"/>
      <c r="S38" s="335"/>
      <c r="T38" s="854">
        <v>5</v>
      </c>
      <c r="U38" s="854">
        <v>0</v>
      </c>
      <c r="V38" s="852"/>
      <c r="W38" s="853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145"/>
      <c r="AS38" s="145"/>
      <c r="AT38" s="145"/>
      <c r="AU38" s="145"/>
      <c r="AV38" s="145"/>
      <c r="AW38" s="145"/>
      <c r="AX38" s="145"/>
      <c r="AY38" s="145"/>
      <c r="AZ38" s="116"/>
    </row>
    <row r="39" spans="1:52" s="393" customFormat="1" ht="31.5">
      <c r="A39" s="856" t="s">
        <v>1290</v>
      </c>
      <c r="B39" s="855" t="s">
        <v>1291</v>
      </c>
      <c r="C39" s="335"/>
      <c r="D39" s="335"/>
      <c r="E39" s="335"/>
      <c r="F39" s="335"/>
      <c r="G39" s="335"/>
      <c r="H39" s="335"/>
      <c r="I39" s="335"/>
      <c r="J39" s="335"/>
      <c r="K39" s="335"/>
      <c r="L39" s="145"/>
      <c r="M39" s="145"/>
      <c r="N39" s="145"/>
      <c r="O39" s="145"/>
      <c r="P39" s="335"/>
      <c r="Q39" s="335"/>
      <c r="R39" s="335"/>
      <c r="S39" s="335"/>
      <c r="T39" s="854">
        <v>30</v>
      </c>
      <c r="U39" s="854">
        <v>21</v>
      </c>
      <c r="V39" s="852"/>
      <c r="W39" s="853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145"/>
      <c r="AS39" s="145"/>
      <c r="AT39" s="145"/>
      <c r="AU39" s="145"/>
      <c r="AV39" s="145"/>
      <c r="AW39" s="145"/>
      <c r="AX39" s="145"/>
      <c r="AY39" s="145"/>
      <c r="AZ39" s="116"/>
    </row>
    <row r="40" spans="1:52" s="393" customFormat="1" ht="31.5">
      <c r="A40" s="856" t="s">
        <v>1292</v>
      </c>
      <c r="B40" s="855" t="s">
        <v>1293</v>
      </c>
      <c r="C40" s="335"/>
      <c r="D40" s="335"/>
      <c r="E40" s="335"/>
      <c r="F40" s="335"/>
      <c r="G40" s="335"/>
      <c r="H40" s="335"/>
      <c r="I40" s="335"/>
      <c r="J40" s="335"/>
      <c r="K40" s="335"/>
      <c r="L40" s="145"/>
      <c r="M40" s="145"/>
      <c r="N40" s="145"/>
      <c r="O40" s="145"/>
      <c r="P40" s="335"/>
      <c r="Q40" s="335"/>
      <c r="R40" s="335"/>
      <c r="S40" s="335"/>
      <c r="T40" s="854">
        <v>5</v>
      </c>
      <c r="U40" s="854">
        <v>5</v>
      </c>
      <c r="V40" s="852"/>
      <c r="W40" s="853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145"/>
      <c r="AS40" s="145"/>
      <c r="AT40" s="145"/>
      <c r="AU40" s="145"/>
      <c r="AV40" s="145"/>
      <c r="AW40" s="145"/>
      <c r="AX40" s="145"/>
      <c r="AY40" s="145"/>
      <c r="AZ40" s="116"/>
    </row>
    <row r="41" spans="1:52" s="393" customFormat="1" ht="47.25">
      <c r="A41" s="856" t="s">
        <v>1294</v>
      </c>
      <c r="B41" s="855" t="s">
        <v>1295</v>
      </c>
      <c r="C41" s="335"/>
      <c r="D41" s="335"/>
      <c r="E41" s="335"/>
      <c r="F41" s="335"/>
      <c r="G41" s="335"/>
      <c r="H41" s="335"/>
      <c r="I41" s="335"/>
      <c r="J41" s="335"/>
      <c r="K41" s="335"/>
      <c r="L41" s="145"/>
      <c r="M41" s="145"/>
      <c r="N41" s="145"/>
      <c r="O41" s="145"/>
      <c r="P41" s="335"/>
      <c r="Q41" s="335"/>
      <c r="R41" s="335"/>
      <c r="S41" s="335"/>
      <c r="T41" s="854">
        <v>10</v>
      </c>
      <c r="U41" s="854">
        <v>10</v>
      </c>
      <c r="V41" s="852"/>
      <c r="W41" s="853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45"/>
      <c r="AS41" s="145"/>
      <c r="AT41" s="145"/>
      <c r="AU41" s="145"/>
      <c r="AV41" s="145"/>
      <c r="AW41" s="145"/>
      <c r="AX41" s="145"/>
      <c r="AY41" s="145"/>
      <c r="AZ41" s="116"/>
    </row>
    <row r="42" spans="1:52" s="393" customFormat="1" ht="47.25">
      <c r="A42" s="856" t="s">
        <v>1296</v>
      </c>
      <c r="B42" s="855" t="s">
        <v>1297</v>
      </c>
      <c r="C42" s="335"/>
      <c r="D42" s="335"/>
      <c r="E42" s="335"/>
      <c r="F42" s="335"/>
      <c r="G42" s="335"/>
      <c r="H42" s="335"/>
      <c r="I42" s="335"/>
      <c r="J42" s="335"/>
      <c r="K42" s="335"/>
      <c r="L42" s="145"/>
      <c r="M42" s="145"/>
      <c r="N42" s="145"/>
      <c r="O42" s="145"/>
      <c r="P42" s="335"/>
      <c r="Q42" s="335"/>
      <c r="R42" s="335"/>
      <c r="S42" s="335"/>
      <c r="T42" s="854">
        <v>10</v>
      </c>
      <c r="U42" s="854">
        <v>10</v>
      </c>
      <c r="V42" s="852"/>
      <c r="W42" s="853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145"/>
      <c r="AS42" s="145"/>
      <c r="AT42" s="145"/>
      <c r="AU42" s="145"/>
      <c r="AV42" s="145"/>
      <c r="AW42" s="145"/>
      <c r="AX42" s="145"/>
      <c r="AY42" s="145"/>
      <c r="AZ42" s="116"/>
    </row>
    <row r="43" spans="1:52" s="393" customFormat="1" ht="30">
      <c r="A43" s="186" t="s">
        <v>192</v>
      </c>
      <c r="B43" s="152" t="s">
        <v>189</v>
      </c>
      <c r="C43" s="145" t="s">
        <v>193</v>
      </c>
      <c r="D43" s="55"/>
      <c r="E43" s="145"/>
      <c r="F43" s="55">
        <v>640</v>
      </c>
      <c r="G43" s="145">
        <v>96</v>
      </c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>
        <v>15</v>
      </c>
      <c r="S43" s="91">
        <v>2.1</v>
      </c>
      <c r="T43" s="854">
        <v>48</v>
      </c>
      <c r="U43" s="854">
        <v>48</v>
      </c>
      <c r="V43" s="852" t="s">
        <v>1298</v>
      </c>
      <c r="W43" s="853">
        <v>60</v>
      </c>
      <c r="X43" s="145"/>
      <c r="Y43" s="145"/>
      <c r="Z43" s="145"/>
      <c r="AA43" s="145"/>
      <c r="AB43" s="55">
        <v>33</v>
      </c>
      <c r="AC43" s="845"/>
      <c r="AD43" s="55">
        <v>600</v>
      </c>
      <c r="AE43" s="55">
        <v>13</v>
      </c>
      <c r="AF43" s="145"/>
      <c r="AG43" s="145"/>
      <c r="AH43" s="145" t="s">
        <v>575</v>
      </c>
      <c r="AI43" s="2">
        <v>34</v>
      </c>
      <c r="AJ43" s="2"/>
      <c r="AK43" s="2"/>
      <c r="AL43" s="2"/>
      <c r="AM43" s="2"/>
      <c r="AN43" s="2"/>
      <c r="AO43" s="2"/>
      <c r="AP43" s="2"/>
      <c r="AQ43" s="2"/>
      <c r="AR43" s="145"/>
      <c r="AS43" s="145"/>
      <c r="AT43" s="145"/>
      <c r="AU43" s="145">
        <v>40.8</v>
      </c>
      <c r="AV43" s="145"/>
      <c r="AW43" s="145"/>
      <c r="AX43" s="145"/>
      <c r="AY43" s="145"/>
      <c r="AZ43" s="116"/>
    </row>
    <row r="44" spans="1:52" s="393" customFormat="1" ht="47.25">
      <c r="A44" s="186" t="s">
        <v>828</v>
      </c>
      <c r="B44" s="152" t="s">
        <v>829</v>
      </c>
      <c r="C44" s="145" t="s">
        <v>830</v>
      </c>
      <c r="D44" s="55"/>
      <c r="E44" s="145"/>
      <c r="F44" s="55">
        <v>22440</v>
      </c>
      <c r="G44" s="145">
        <v>168.3</v>
      </c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854">
        <v>432</v>
      </c>
      <c r="U44" s="854">
        <v>432</v>
      </c>
      <c r="V44" s="852">
        <v>478</v>
      </c>
      <c r="W44" s="853">
        <v>143.4</v>
      </c>
      <c r="X44" s="145"/>
      <c r="Y44" s="145"/>
      <c r="Z44" s="145"/>
      <c r="AA44" s="145"/>
      <c r="AB44" s="55">
        <v>244</v>
      </c>
      <c r="AC44" s="845"/>
      <c r="AD44" s="55">
        <v>244</v>
      </c>
      <c r="AE44" s="55">
        <v>72</v>
      </c>
      <c r="AF44" s="145"/>
      <c r="AG44" s="145"/>
      <c r="AH44" s="145" t="s">
        <v>575</v>
      </c>
      <c r="AI44" s="2">
        <v>26.7</v>
      </c>
      <c r="AJ44" s="2"/>
      <c r="AK44" s="2"/>
      <c r="AL44" s="2"/>
      <c r="AM44" s="2"/>
      <c r="AN44" s="2"/>
      <c r="AO44" s="2"/>
      <c r="AP44" s="2"/>
      <c r="AQ44" s="2"/>
      <c r="AR44" s="145"/>
      <c r="AS44" s="145"/>
      <c r="AT44" s="145"/>
      <c r="AU44" s="145"/>
      <c r="AV44" s="145"/>
      <c r="AW44" s="145"/>
      <c r="AX44" s="145"/>
      <c r="AY44" s="145"/>
      <c r="AZ44" s="116"/>
    </row>
    <row r="45" spans="1:52" s="393" customFormat="1" ht="15.75">
      <c r="A45" s="175" t="s">
        <v>1299</v>
      </c>
      <c r="B45" s="174" t="s">
        <v>1300</v>
      </c>
      <c r="C45" s="145"/>
      <c r="D45" s="145"/>
      <c r="E45" s="145"/>
      <c r="F45" s="145"/>
      <c r="G45" s="145"/>
      <c r="H45" s="145"/>
      <c r="I45" s="145"/>
      <c r="J45" s="145"/>
      <c r="K45" s="145"/>
      <c r="L45" s="2">
        <v>0</v>
      </c>
      <c r="M45" s="2">
        <v>0</v>
      </c>
      <c r="N45" s="2">
        <v>7</v>
      </c>
      <c r="O45" s="2">
        <v>12.5</v>
      </c>
      <c r="P45" s="145"/>
      <c r="Q45" s="145"/>
      <c r="R45" s="145"/>
      <c r="S45" s="145"/>
      <c r="T45" s="854"/>
      <c r="U45" s="854"/>
      <c r="V45" s="852"/>
      <c r="W45" s="853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 t="s">
        <v>575</v>
      </c>
      <c r="AI45" s="2">
        <v>15</v>
      </c>
      <c r="AJ45" s="2"/>
      <c r="AK45" s="2"/>
      <c r="AL45" s="2"/>
      <c r="AM45" s="2"/>
      <c r="AN45" s="2"/>
      <c r="AO45" s="2"/>
      <c r="AP45" s="2"/>
      <c r="AQ45" s="2"/>
      <c r="AR45" s="145"/>
      <c r="AS45" s="145"/>
      <c r="AT45" s="145"/>
      <c r="AU45" s="145"/>
      <c r="AV45" s="145"/>
      <c r="AW45" s="145"/>
      <c r="AX45" s="145"/>
      <c r="AY45" s="145"/>
      <c r="AZ45" s="116"/>
    </row>
    <row r="46" spans="1:52" s="393" customFormat="1" ht="45">
      <c r="A46" s="186" t="s">
        <v>660</v>
      </c>
      <c r="B46" s="152" t="s">
        <v>661</v>
      </c>
      <c r="C46" s="145" t="s">
        <v>1301</v>
      </c>
      <c r="D46" s="145"/>
      <c r="E46" s="145"/>
      <c r="F46" s="145"/>
      <c r="G46" s="145"/>
      <c r="H46" s="1062">
        <v>0</v>
      </c>
      <c r="I46" s="1062">
        <v>0</v>
      </c>
      <c r="J46" s="1062">
        <v>50</v>
      </c>
      <c r="K46" s="1330">
        <v>12</v>
      </c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2">
        <v>7.65</v>
      </c>
      <c r="AB46" s="55">
        <v>40</v>
      </c>
      <c r="AC46" s="145" t="s">
        <v>575</v>
      </c>
      <c r="AD46" s="55" t="s">
        <v>575</v>
      </c>
      <c r="AE46" s="55">
        <v>60</v>
      </c>
      <c r="AF46" s="2"/>
      <c r="AG46" s="2"/>
      <c r="AH46" s="2"/>
      <c r="AI46" s="2"/>
      <c r="AJ46" s="2"/>
      <c r="AK46" s="2"/>
      <c r="AL46" s="145" t="s">
        <v>1302</v>
      </c>
      <c r="AM46" s="145">
        <v>25</v>
      </c>
      <c r="AN46" s="2"/>
      <c r="AO46" s="2"/>
      <c r="AP46" s="2"/>
      <c r="AQ46" s="2"/>
      <c r="AR46" s="145"/>
      <c r="AS46" s="145"/>
      <c r="AT46" s="145"/>
      <c r="AU46" s="145"/>
      <c r="AV46" s="145" t="s">
        <v>15</v>
      </c>
      <c r="AW46" s="145">
        <v>25</v>
      </c>
      <c r="AX46" s="145" t="s">
        <v>663</v>
      </c>
      <c r="AY46" s="145" t="s">
        <v>306</v>
      </c>
      <c r="AZ46" s="116" t="s">
        <v>64</v>
      </c>
    </row>
    <row r="47" spans="1:52" s="393" customFormat="1" ht="47.25">
      <c r="A47" s="186" t="s">
        <v>833</v>
      </c>
      <c r="B47" s="152" t="s">
        <v>834</v>
      </c>
      <c r="C47" s="145" t="s">
        <v>835</v>
      </c>
      <c r="D47" s="55"/>
      <c r="E47" s="145"/>
      <c r="F47" s="55">
        <v>500</v>
      </c>
      <c r="G47" s="145">
        <v>5</v>
      </c>
      <c r="H47" s="1062"/>
      <c r="I47" s="1062"/>
      <c r="J47" s="1062"/>
      <c r="K47" s="1330"/>
      <c r="L47" s="145"/>
      <c r="M47" s="145"/>
      <c r="N47" s="145"/>
      <c r="O47" s="145"/>
      <c r="P47" s="145"/>
      <c r="Q47" s="145"/>
      <c r="R47" s="145"/>
      <c r="S47" s="145"/>
      <c r="T47" s="857">
        <v>10</v>
      </c>
      <c r="U47" s="857">
        <v>0</v>
      </c>
      <c r="V47" s="1062" t="s">
        <v>1303</v>
      </c>
      <c r="W47" s="1330">
        <v>80</v>
      </c>
      <c r="X47" s="145"/>
      <c r="Y47" s="145"/>
      <c r="Z47" s="145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145">
        <v>450</v>
      </c>
      <c r="AQ47" s="2"/>
      <c r="AR47" s="145">
        <v>900</v>
      </c>
      <c r="AS47" s="145">
        <v>0</v>
      </c>
      <c r="AT47" s="145">
        <v>1800</v>
      </c>
      <c r="AU47" s="145">
        <v>12</v>
      </c>
      <c r="AV47" s="145"/>
      <c r="AW47" s="145"/>
      <c r="AX47" s="145"/>
      <c r="AY47" s="145"/>
      <c r="AZ47" s="116"/>
    </row>
    <row r="48" spans="1:52" s="393" customFormat="1" ht="31.5">
      <c r="A48" s="186" t="s">
        <v>836</v>
      </c>
      <c r="B48" s="152" t="s">
        <v>837</v>
      </c>
      <c r="C48" s="145" t="s">
        <v>838</v>
      </c>
      <c r="D48" s="55"/>
      <c r="E48" s="145"/>
      <c r="F48" s="55">
        <v>1200</v>
      </c>
      <c r="G48" s="145">
        <v>10</v>
      </c>
      <c r="H48" s="1062"/>
      <c r="I48" s="1062"/>
      <c r="J48" s="1062"/>
      <c r="K48" s="1330"/>
      <c r="L48" s="145"/>
      <c r="M48" s="145"/>
      <c r="N48" s="145"/>
      <c r="O48" s="145"/>
      <c r="P48" s="145"/>
      <c r="Q48" s="145"/>
      <c r="R48" s="145"/>
      <c r="S48" s="145"/>
      <c r="T48" s="857">
        <v>10</v>
      </c>
      <c r="U48" s="857">
        <v>0</v>
      </c>
      <c r="V48" s="1062"/>
      <c r="W48" s="1330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>
        <v>450</v>
      </c>
      <c r="AQ48" s="1062">
        <v>45</v>
      </c>
      <c r="AR48" s="145">
        <v>1200</v>
      </c>
      <c r="AS48" s="145">
        <v>0</v>
      </c>
      <c r="AT48" s="145">
        <v>2400</v>
      </c>
      <c r="AU48" s="145">
        <v>12</v>
      </c>
      <c r="AV48" s="145"/>
      <c r="AW48" s="145"/>
      <c r="AX48" s="145"/>
      <c r="AY48" s="145"/>
      <c r="AZ48" s="116"/>
    </row>
    <row r="49" spans="1:52" s="393" customFormat="1" ht="31.5">
      <c r="A49" s="186" t="s">
        <v>839</v>
      </c>
      <c r="B49" s="152" t="s">
        <v>840</v>
      </c>
      <c r="C49" s="145" t="s">
        <v>841</v>
      </c>
      <c r="D49" s="55"/>
      <c r="E49" s="145"/>
      <c r="F49" s="55">
        <v>300</v>
      </c>
      <c r="G49" s="145">
        <v>5</v>
      </c>
      <c r="H49" s="1062"/>
      <c r="I49" s="1062"/>
      <c r="J49" s="1062"/>
      <c r="K49" s="1330"/>
      <c r="L49" s="145"/>
      <c r="M49" s="145"/>
      <c r="N49" s="145"/>
      <c r="O49" s="145"/>
      <c r="P49" s="145"/>
      <c r="Q49" s="145"/>
      <c r="R49" s="145"/>
      <c r="S49" s="145"/>
      <c r="T49" s="857">
        <v>10</v>
      </c>
      <c r="U49" s="857">
        <v>0</v>
      </c>
      <c r="V49" s="1062"/>
      <c r="W49" s="1330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>
        <v>405</v>
      </c>
      <c r="AQ49" s="1062"/>
      <c r="AR49" s="145">
        <v>600</v>
      </c>
      <c r="AS49" s="145">
        <v>0</v>
      </c>
      <c r="AT49" s="145">
        <v>1200</v>
      </c>
      <c r="AU49" s="145">
        <v>12</v>
      </c>
      <c r="AV49" s="145"/>
      <c r="AW49" s="145"/>
      <c r="AX49" s="145"/>
      <c r="AY49" s="145"/>
      <c r="AZ49" s="116"/>
    </row>
    <row r="50" spans="1:52" s="393" customFormat="1" ht="126">
      <c r="A50" s="186" t="s">
        <v>842</v>
      </c>
      <c r="B50" s="152" t="s">
        <v>843</v>
      </c>
      <c r="C50" s="145" t="s">
        <v>844</v>
      </c>
      <c r="D50" s="55"/>
      <c r="E50" s="145"/>
      <c r="F50" s="55">
        <v>400</v>
      </c>
      <c r="G50" s="145">
        <v>20</v>
      </c>
      <c r="H50" s="1062"/>
      <c r="I50" s="1062"/>
      <c r="J50" s="1062"/>
      <c r="K50" s="1330"/>
      <c r="L50" s="145"/>
      <c r="M50" s="145"/>
      <c r="N50" s="145"/>
      <c r="O50" s="145"/>
      <c r="P50" s="145"/>
      <c r="Q50" s="145"/>
      <c r="R50" s="145"/>
      <c r="S50" s="145"/>
      <c r="T50" s="857">
        <v>10</v>
      </c>
      <c r="U50" s="857">
        <v>0</v>
      </c>
      <c r="V50" s="1062"/>
      <c r="W50" s="1330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>
        <v>600</v>
      </c>
      <c r="AQ50" s="1062"/>
      <c r="AR50" s="145">
        <v>1200</v>
      </c>
      <c r="AS50" s="145">
        <v>0</v>
      </c>
      <c r="AT50" s="145">
        <v>4800</v>
      </c>
      <c r="AU50" s="145">
        <v>24</v>
      </c>
      <c r="AV50" s="145"/>
      <c r="AW50" s="145"/>
      <c r="AX50" s="145"/>
      <c r="AY50" s="145"/>
      <c r="AZ50" s="116"/>
    </row>
    <row r="51" spans="1:52" s="393" customFormat="1" ht="78.75">
      <c r="A51" s="186" t="s">
        <v>845</v>
      </c>
      <c r="B51" s="152" t="s">
        <v>846</v>
      </c>
      <c r="C51" s="145" t="s">
        <v>610</v>
      </c>
      <c r="D51" s="55"/>
      <c r="E51" s="145"/>
      <c r="F51" s="55">
        <v>1000</v>
      </c>
      <c r="G51" s="145">
        <v>10</v>
      </c>
      <c r="H51" s="1062"/>
      <c r="I51" s="1062"/>
      <c r="J51" s="1062"/>
      <c r="K51" s="1330"/>
      <c r="L51" s="145"/>
      <c r="M51" s="145"/>
      <c r="N51" s="145"/>
      <c r="O51" s="145"/>
      <c r="P51" s="145"/>
      <c r="Q51" s="145"/>
      <c r="R51" s="145"/>
      <c r="S51" s="145"/>
      <c r="T51" s="857">
        <v>10</v>
      </c>
      <c r="U51" s="857">
        <v>0</v>
      </c>
      <c r="V51" s="1062"/>
      <c r="W51" s="1330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>
        <v>450</v>
      </c>
      <c r="AQ51" s="1062"/>
      <c r="AR51" s="145"/>
      <c r="AS51" s="145"/>
      <c r="AT51" s="145"/>
      <c r="AU51" s="145"/>
      <c r="AV51" s="145"/>
      <c r="AW51" s="145"/>
      <c r="AX51" s="145"/>
      <c r="AY51" s="145"/>
      <c r="AZ51" s="116"/>
    </row>
    <row r="52" spans="1:52" s="393" customFormat="1" ht="45">
      <c r="A52" s="186" t="s">
        <v>735</v>
      </c>
      <c r="B52" s="152"/>
      <c r="C52" s="145" t="s">
        <v>736</v>
      </c>
      <c r="D52" s="145"/>
      <c r="E52" s="145"/>
      <c r="F52" s="145"/>
      <c r="G52" s="145"/>
      <c r="H52" s="1062"/>
      <c r="I52" s="1062"/>
      <c r="J52" s="1062"/>
      <c r="K52" s="1330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062"/>
      <c r="W52" s="1330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 t="s">
        <v>15</v>
      </c>
      <c r="AW52" s="145"/>
      <c r="AX52" s="145" t="s">
        <v>663</v>
      </c>
      <c r="AY52" s="145" t="s">
        <v>306</v>
      </c>
      <c r="AZ52" s="116" t="s">
        <v>64</v>
      </c>
    </row>
    <row r="53" spans="1:52" s="393" customFormat="1" ht="94.5">
      <c r="A53" s="186" t="s">
        <v>1304</v>
      </c>
      <c r="B53" s="152" t="s">
        <v>1305</v>
      </c>
      <c r="C53" s="335"/>
      <c r="D53" s="335"/>
      <c r="E53" s="335"/>
      <c r="F53" s="335"/>
      <c r="G53" s="335"/>
      <c r="H53" s="1062"/>
      <c r="I53" s="1062"/>
      <c r="J53" s="1062"/>
      <c r="K53" s="1330"/>
      <c r="L53" s="145"/>
      <c r="M53" s="145"/>
      <c r="N53" s="145"/>
      <c r="O53" s="145"/>
      <c r="P53" s="335"/>
      <c r="Q53" s="335"/>
      <c r="R53" s="335"/>
      <c r="S53" s="335"/>
      <c r="T53" s="857">
        <v>80</v>
      </c>
      <c r="U53" s="145"/>
      <c r="V53" s="1062"/>
      <c r="W53" s="1330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16"/>
    </row>
    <row r="54" spans="1:52" s="393" customFormat="1" ht="63">
      <c r="A54" s="186" t="s">
        <v>1306</v>
      </c>
      <c r="B54" s="152" t="s">
        <v>1307</v>
      </c>
      <c r="C54" s="335"/>
      <c r="D54" s="335"/>
      <c r="E54" s="335"/>
      <c r="F54" s="335"/>
      <c r="G54" s="335"/>
      <c r="H54" s="1062"/>
      <c r="I54" s="1062"/>
      <c r="J54" s="1062"/>
      <c r="K54" s="1330"/>
      <c r="L54" s="145"/>
      <c r="M54" s="145"/>
      <c r="N54" s="145"/>
      <c r="O54" s="145"/>
      <c r="P54" s="335"/>
      <c r="Q54" s="335"/>
      <c r="R54" s="335"/>
      <c r="S54" s="335"/>
      <c r="T54" s="857">
        <v>20000</v>
      </c>
      <c r="U54" s="145"/>
      <c r="V54" s="1062"/>
      <c r="W54" s="1330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16"/>
    </row>
    <row r="55" spans="1:52" s="393" customFormat="1" ht="110.25">
      <c r="A55" s="186" t="s">
        <v>1308</v>
      </c>
      <c r="B55" s="152" t="s">
        <v>1309</v>
      </c>
      <c r="C55" s="335"/>
      <c r="D55" s="335"/>
      <c r="E55" s="335"/>
      <c r="F55" s="335"/>
      <c r="G55" s="335"/>
      <c r="H55" s="1062"/>
      <c r="I55" s="1062"/>
      <c r="J55" s="1062"/>
      <c r="K55" s="1330"/>
      <c r="L55" s="145"/>
      <c r="M55" s="145"/>
      <c r="N55" s="145"/>
      <c r="O55" s="145"/>
      <c r="P55" s="335"/>
      <c r="Q55" s="335"/>
      <c r="R55" s="335"/>
      <c r="S55" s="335"/>
      <c r="T55" s="857">
        <v>50</v>
      </c>
      <c r="U55" s="145"/>
      <c r="V55" s="1062"/>
      <c r="W55" s="1330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16"/>
    </row>
    <row r="56" spans="1:52" s="393" customFormat="1" ht="63">
      <c r="A56" s="186" t="s">
        <v>1310</v>
      </c>
      <c r="B56" s="152" t="s">
        <v>1311</v>
      </c>
      <c r="C56" s="145" t="s">
        <v>1312</v>
      </c>
      <c r="D56" s="145"/>
      <c r="E56" s="145"/>
      <c r="F56" s="145"/>
      <c r="G56" s="145"/>
      <c r="H56" s="1062"/>
      <c r="I56" s="1062"/>
      <c r="J56" s="1062"/>
      <c r="K56" s="1330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062"/>
      <c r="W56" s="1330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>
        <v>10000</v>
      </c>
      <c r="AU56" s="145">
        <v>12</v>
      </c>
      <c r="AV56" s="145"/>
      <c r="AW56" s="145"/>
      <c r="AX56" s="145"/>
      <c r="AY56" s="145"/>
      <c r="AZ56" s="116"/>
    </row>
    <row r="57" spans="1:52" s="393" customFormat="1" ht="15.75">
      <c r="A57" s="186" t="s">
        <v>1313</v>
      </c>
      <c r="B57" s="858" t="s">
        <v>1314</v>
      </c>
      <c r="C57" s="145"/>
      <c r="D57" s="145"/>
      <c r="E57" s="145"/>
      <c r="F57" s="145"/>
      <c r="G57" s="145"/>
      <c r="H57" s="1062"/>
      <c r="I57" s="1062"/>
      <c r="J57" s="1062"/>
      <c r="K57" s="1330"/>
      <c r="L57" s="145"/>
      <c r="M57" s="145"/>
      <c r="N57" s="145"/>
      <c r="O57" s="145"/>
      <c r="P57" s="145"/>
      <c r="Q57" s="145"/>
      <c r="R57" s="145"/>
      <c r="S57" s="145"/>
      <c r="T57" s="145">
        <v>1000</v>
      </c>
      <c r="U57" s="145">
        <v>0</v>
      </c>
      <c r="V57" s="1062"/>
      <c r="W57" s="1330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16"/>
    </row>
    <row r="58" spans="1:52" s="393" customFormat="1" ht="47.25">
      <c r="A58" s="186" t="s">
        <v>1315</v>
      </c>
      <c r="B58" s="152" t="s">
        <v>1316</v>
      </c>
      <c r="C58" s="145" t="s">
        <v>1312</v>
      </c>
      <c r="D58" s="145"/>
      <c r="E58" s="145"/>
      <c r="F58" s="145"/>
      <c r="G58" s="145"/>
      <c r="H58" s="1062"/>
      <c r="I58" s="1062"/>
      <c r="J58" s="1062"/>
      <c r="K58" s="1330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>
        <v>20000</v>
      </c>
      <c r="AU58" s="145">
        <v>12</v>
      </c>
      <c r="AV58" s="145" t="s">
        <v>610</v>
      </c>
      <c r="AW58" s="145" t="s">
        <v>610</v>
      </c>
      <c r="AX58" s="145" t="s">
        <v>610</v>
      </c>
      <c r="AY58" s="145" t="s">
        <v>610</v>
      </c>
      <c r="AZ58" s="859" t="s">
        <v>610</v>
      </c>
    </row>
    <row r="59" spans="1:52" s="393" customFormat="1" ht="45">
      <c r="A59" s="186" t="s">
        <v>852</v>
      </c>
      <c r="B59" s="103" t="s">
        <v>1317</v>
      </c>
      <c r="C59" s="55" t="s">
        <v>1318</v>
      </c>
      <c r="D59" s="55"/>
      <c r="E59" s="145"/>
      <c r="F59" s="55">
        <v>300</v>
      </c>
      <c r="G59" s="145">
        <v>10</v>
      </c>
      <c r="H59" s="1062"/>
      <c r="I59" s="1062"/>
      <c r="J59" s="1062"/>
      <c r="K59" s="1330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>
        <v>3</v>
      </c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 t="s">
        <v>1302</v>
      </c>
      <c r="AM59" s="145">
        <v>5</v>
      </c>
      <c r="AN59" s="145"/>
      <c r="AO59" s="145"/>
      <c r="AP59" s="55">
        <v>270</v>
      </c>
      <c r="AQ59" s="145">
        <v>9</v>
      </c>
      <c r="AR59" s="145"/>
      <c r="AS59" s="145"/>
      <c r="AT59" s="145"/>
      <c r="AU59" s="145"/>
      <c r="AV59" s="145" t="s">
        <v>35</v>
      </c>
      <c r="AW59" s="145">
        <v>30</v>
      </c>
      <c r="AX59" s="145" t="s">
        <v>1319</v>
      </c>
      <c r="AY59" s="145" t="s">
        <v>548</v>
      </c>
      <c r="AZ59" s="116" t="s">
        <v>1320</v>
      </c>
    </row>
    <row r="60" spans="1:52" s="393" customFormat="1" ht="31.5">
      <c r="A60" s="186" t="s">
        <v>847</v>
      </c>
      <c r="B60" s="152" t="s">
        <v>848</v>
      </c>
      <c r="C60" s="145" t="s">
        <v>610</v>
      </c>
      <c r="D60" s="145"/>
      <c r="E60" s="145"/>
      <c r="F60" s="145"/>
      <c r="G60" s="145"/>
      <c r="H60" s="1062"/>
      <c r="I60" s="1062"/>
      <c r="J60" s="1062"/>
      <c r="K60" s="1330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>
        <v>3600</v>
      </c>
      <c r="AS60" s="145">
        <v>0</v>
      </c>
      <c r="AT60" s="145">
        <v>3600</v>
      </c>
      <c r="AU60" s="145">
        <v>2.88</v>
      </c>
      <c r="AV60" s="145"/>
      <c r="AW60" s="145"/>
      <c r="AX60" s="145"/>
      <c r="AY60" s="145"/>
      <c r="AZ60" s="116"/>
    </row>
    <row r="61" spans="1:52" s="393" customFormat="1" ht="47.25">
      <c r="A61" s="186" t="s">
        <v>849</v>
      </c>
      <c r="B61" s="152" t="s">
        <v>850</v>
      </c>
      <c r="C61" s="145" t="s">
        <v>851</v>
      </c>
      <c r="D61" s="145"/>
      <c r="E61" s="145"/>
      <c r="F61" s="145"/>
      <c r="G61" s="145"/>
      <c r="H61" s="1062"/>
      <c r="I61" s="1062"/>
      <c r="J61" s="1062"/>
      <c r="K61" s="1330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>
        <v>900</v>
      </c>
      <c r="AS61" s="145">
        <v>0</v>
      </c>
      <c r="AT61" s="145">
        <v>900</v>
      </c>
      <c r="AU61" s="145">
        <v>0.72</v>
      </c>
      <c r="AV61" s="145"/>
      <c r="AW61" s="145"/>
      <c r="AX61" s="145"/>
      <c r="AY61" s="145"/>
      <c r="AZ61" s="116"/>
    </row>
    <row r="62" spans="1:52" s="393" customFormat="1" ht="94.5">
      <c r="A62" s="186" t="s">
        <v>1321</v>
      </c>
      <c r="B62" s="152" t="s">
        <v>1322</v>
      </c>
      <c r="C62" s="145" t="s">
        <v>1323</v>
      </c>
      <c r="D62" s="145"/>
      <c r="E62" s="145"/>
      <c r="F62" s="145"/>
      <c r="G62" s="145"/>
      <c r="H62" s="1062"/>
      <c r="I62" s="1062"/>
      <c r="J62" s="1062"/>
      <c r="K62" s="1330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>
        <v>1800</v>
      </c>
      <c r="AS62" s="145">
        <v>0</v>
      </c>
      <c r="AT62" s="145">
        <v>1800</v>
      </c>
      <c r="AU62" s="145">
        <v>8.4</v>
      </c>
      <c r="AV62" s="145"/>
      <c r="AW62" s="145"/>
      <c r="AX62" s="145"/>
      <c r="AY62" s="145"/>
      <c r="AZ62" s="116"/>
    </row>
    <row r="63" spans="1:52" s="393" customFormat="1" ht="15">
      <c r="A63" s="1337" t="s">
        <v>1324</v>
      </c>
      <c r="B63" s="1161" t="s">
        <v>1325</v>
      </c>
      <c r="C63" s="335" t="s">
        <v>1326</v>
      </c>
      <c r="D63" s="145"/>
      <c r="E63" s="145"/>
      <c r="F63" s="145"/>
      <c r="G63" s="145"/>
      <c r="H63" s="145"/>
      <c r="I63" s="145"/>
      <c r="J63" s="145"/>
      <c r="K63" s="30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>
        <v>4</v>
      </c>
      <c r="AQ63" s="1062">
        <v>20</v>
      </c>
      <c r="AR63" s="145"/>
      <c r="AS63" s="145"/>
      <c r="AT63" s="145"/>
      <c r="AU63" s="145"/>
      <c r="AV63" s="145" t="s">
        <v>71</v>
      </c>
      <c r="AW63" s="145">
        <v>4</v>
      </c>
      <c r="AX63" s="145" t="s">
        <v>64</v>
      </c>
      <c r="AY63" s="145" t="s">
        <v>548</v>
      </c>
      <c r="AZ63" s="116" t="s">
        <v>1327</v>
      </c>
    </row>
    <row r="64" spans="1:52" s="393" customFormat="1" ht="15">
      <c r="A64" s="1337"/>
      <c r="B64" s="1161"/>
      <c r="C64" s="335" t="s">
        <v>1328</v>
      </c>
      <c r="D64" s="145"/>
      <c r="E64" s="145"/>
      <c r="F64" s="145"/>
      <c r="G64" s="145"/>
      <c r="H64" s="145"/>
      <c r="I64" s="145"/>
      <c r="J64" s="145"/>
      <c r="K64" s="30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>
        <v>161</v>
      </c>
      <c r="AQ64" s="1062"/>
      <c r="AR64" s="145"/>
      <c r="AS64" s="145"/>
      <c r="AT64" s="145"/>
      <c r="AU64" s="145"/>
      <c r="AV64" s="145" t="s">
        <v>1055</v>
      </c>
      <c r="AW64" s="145">
        <v>32</v>
      </c>
      <c r="AX64" s="145" t="s">
        <v>1329</v>
      </c>
      <c r="AY64" s="145" t="s">
        <v>548</v>
      </c>
      <c r="AZ64" s="116" t="s">
        <v>1330</v>
      </c>
    </row>
    <row r="65" spans="1:52" s="393" customFormat="1" ht="30">
      <c r="A65" s="1337"/>
      <c r="B65" s="1161"/>
      <c r="C65" s="335" t="s">
        <v>34</v>
      </c>
      <c r="D65" s="145"/>
      <c r="E65" s="145"/>
      <c r="F65" s="145"/>
      <c r="G65" s="145"/>
      <c r="H65" s="145"/>
      <c r="I65" s="145"/>
      <c r="J65" s="145"/>
      <c r="K65" s="30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>
        <v>1177</v>
      </c>
      <c r="AQ65" s="1062"/>
      <c r="AR65" s="145"/>
      <c r="AS65" s="145"/>
      <c r="AT65" s="145"/>
      <c r="AU65" s="145"/>
      <c r="AV65" s="145" t="s">
        <v>35</v>
      </c>
      <c r="AW65" s="145">
        <v>50</v>
      </c>
      <c r="AX65" s="145" t="s">
        <v>1331</v>
      </c>
      <c r="AY65" s="145" t="s">
        <v>548</v>
      </c>
      <c r="AZ65" s="116" t="s">
        <v>1332</v>
      </c>
    </row>
    <row r="66" spans="1:52" s="393" customFormat="1" ht="15">
      <c r="A66" s="1337"/>
      <c r="B66" s="1161"/>
      <c r="C66" s="335" t="s">
        <v>1333</v>
      </c>
      <c r="D66" s="145"/>
      <c r="E66" s="145"/>
      <c r="F66" s="145"/>
      <c r="G66" s="145"/>
      <c r="H66" s="145"/>
      <c r="I66" s="145"/>
      <c r="J66" s="145"/>
      <c r="K66" s="30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>
        <v>20</v>
      </c>
      <c r="AQ66" s="1062"/>
      <c r="AR66" s="145"/>
      <c r="AS66" s="145"/>
      <c r="AT66" s="145"/>
      <c r="AU66" s="145"/>
      <c r="AV66" s="145" t="s">
        <v>1334</v>
      </c>
      <c r="AW66" s="145">
        <v>20</v>
      </c>
      <c r="AX66" s="145" t="s">
        <v>1335</v>
      </c>
      <c r="AY66" s="145" t="s">
        <v>548</v>
      </c>
      <c r="AZ66" s="116" t="s">
        <v>1336</v>
      </c>
    </row>
    <row r="67" spans="1:52" s="393" customFormat="1" ht="30">
      <c r="A67" s="186" t="s">
        <v>602</v>
      </c>
      <c r="B67" s="152" t="s">
        <v>603</v>
      </c>
      <c r="C67" s="145" t="s">
        <v>604</v>
      </c>
      <c r="D67" s="145"/>
      <c r="E67" s="145"/>
      <c r="F67" s="145"/>
      <c r="G67" s="145"/>
      <c r="H67" s="176">
        <v>0</v>
      </c>
      <c r="I67" s="176">
        <v>0</v>
      </c>
      <c r="J67" s="91">
        <v>50</v>
      </c>
      <c r="K67" s="129">
        <v>5</v>
      </c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 t="s">
        <v>575</v>
      </c>
      <c r="AW67" s="145" t="s">
        <v>575</v>
      </c>
      <c r="AX67" s="145" t="s">
        <v>575</v>
      </c>
      <c r="AY67" s="145" t="s">
        <v>575</v>
      </c>
      <c r="AZ67" s="116" t="s">
        <v>575</v>
      </c>
    </row>
    <row r="68" spans="1:52" s="393" customFormat="1" ht="30">
      <c r="A68" s="186" t="s">
        <v>1337</v>
      </c>
      <c r="B68" s="152" t="s">
        <v>1338</v>
      </c>
      <c r="C68" s="145" t="s">
        <v>1339</v>
      </c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>
        <v>38</v>
      </c>
      <c r="AV68" s="145"/>
      <c r="AW68" s="145"/>
      <c r="AX68" s="145"/>
      <c r="AY68" s="145"/>
      <c r="AZ68" s="116"/>
    </row>
    <row r="69" spans="1:52" s="393" customFormat="1" ht="15">
      <c r="A69" s="1329">
        <v>4.1</v>
      </c>
      <c r="B69" s="1302" t="s">
        <v>591</v>
      </c>
      <c r="C69" s="145" t="s">
        <v>592</v>
      </c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 t="s">
        <v>37</v>
      </c>
      <c r="AW69" s="145">
        <v>10</v>
      </c>
      <c r="AX69" s="145" t="s">
        <v>578</v>
      </c>
      <c r="AY69" s="145" t="s">
        <v>306</v>
      </c>
      <c r="AZ69" s="116" t="s">
        <v>306</v>
      </c>
    </row>
    <row r="70" spans="1:52" s="393" customFormat="1" ht="15">
      <c r="A70" s="1329"/>
      <c r="B70" s="1302"/>
      <c r="C70" s="145" t="s">
        <v>593</v>
      </c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 t="s">
        <v>37</v>
      </c>
      <c r="AW70" s="145">
        <v>20</v>
      </c>
      <c r="AX70" s="145" t="s">
        <v>578</v>
      </c>
      <c r="AY70" s="145" t="s">
        <v>306</v>
      </c>
      <c r="AZ70" s="116" t="s">
        <v>306</v>
      </c>
    </row>
    <row r="71" spans="1:52" s="393" customFormat="1" ht="30">
      <c r="A71" s="1329"/>
      <c r="B71" s="1302"/>
      <c r="C71" s="145" t="s">
        <v>594</v>
      </c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 t="s">
        <v>595</v>
      </c>
      <c r="AW71" s="145">
        <v>25</v>
      </c>
      <c r="AX71" s="145" t="s">
        <v>578</v>
      </c>
      <c r="AY71" s="145" t="s">
        <v>306</v>
      </c>
      <c r="AZ71" s="116" t="s">
        <v>306</v>
      </c>
    </row>
    <row r="72" spans="1:52" s="393" customFormat="1" ht="48.75" customHeight="1" thickBot="1">
      <c r="A72" s="860">
        <v>6</v>
      </c>
      <c r="B72" s="158" t="s">
        <v>664</v>
      </c>
      <c r="C72" s="126" t="s">
        <v>662</v>
      </c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>
        <v>2300</v>
      </c>
      <c r="Y72" s="126">
        <v>676</v>
      </c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 t="s">
        <v>35</v>
      </c>
      <c r="AW72" s="126">
        <v>25</v>
      </c>
      <c r="AX72" s="126" t="s">
        <v>663</v>
      </c>
      <c r="AY72" s="126" t="s">
        <v>306</v>
      </c>
      <c r="AZ72" s="268" t="s">
        <v>64</v>
      </c>
    </row>
    <row r="73" spans="1:52" s="393" customFormat="1" ht="48.75" customHeight="1" thickBot="1">
      <c r="A73" s="860"/>
      <c r="B73" s="158" t="s">
        <v>1340</v>
      </c>
      <c r="C73" s="126" t="s">
        <v>1341</v>
      </c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>
        <v>240</v>
      </c>
      <c r="Y73" s="126">
        <v>1768</v>
      </c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 t="s">
        <v>663</v>
      </c>
      <c r="AY73" s="126" t="s">
        <v>306</v>
      </c>
      <c r="AZ73" s="268" t="s">
        <v>64</v>
      </c>
    </row>
    <row r="74" spans="1:52" s="311" customFormat="1" ht="16.5" thickBot="1">
      <c r="A74" s="345"/>
      <c r="B74" s="270"/>
      <c r="C74" s="269" t="s">
        <v>17</v>
      </c>
      <c r="D74" s="269">
        <f>SUM(D6:D73)</f>
        <v>0</v>
      </c>
      <c r="E74" s="269">
        <f aca="true" t="shared" si="0" ref="E74:AU74">SUM(E6:E73)</f>
        <v>111</v>
      </c>
      <c r="F74" s="269">
        <f t="shared" si="0"/>
        <v>28865</v>
      </c>
      <c r="G74" s="269">
        <f t="shared" si="0"/>
        <v>390.87</v>
      </c>
      <c r="H74" s="269">
        <f t="shared" si="0"/>
        <v>162</v>
      </c>
      <c r="I74" s="269">
        <f t="shared" si="0"/>
        <v>0</v>
      </c>
      <c r="J74" s="269">
        <f t="shared" si="0"/>
        <v>380</v>
      </c>
      <c r="K74" s="269">
        <f t="shared" si="0"/>
        <v>29.04</v>
      </c>
      <c r="L74" s="269">
        <f t="shared" si="0"/>
        <v>0</v>
      </c>
      <c r="M74" s="269">
        <f t="shared" si="0"/>
        <v>0</v>
      </c>
      <c r="N74" s="269">
        <f t="shared" si="0"/>
        <v>7</v>
      </c>
      <c r="O74" s="269">
        <f t="shared" si="0"/>
        <v>156.2738</v>
      </c>
      <c r="P74" s="269">
        <f t="shared" si="0"/>
        <v>0</v>
      </c>
      <c r="Q74" s="269">
        <f t="shared" si="0"/>
        <v>0</v>
      </c>
      <c r="R74" s="269">
        <f t="shared" si="0"/>
        <v>15</v>
      </c>
      <c r="S74" s="269">
        <f t="shared" si="0"/>
        <v>26.1</v>
      </c>
      <c r="T74" s="269">
        <f t="shared" si="0"/>
        <v>25373</v>
      </c>
      <c r="U74" s="269">
        <f t="shared" si="0"/>
        <v>2477</v>
      </c>
      <c r="V74" s="269">
        <f t="shared" si="0"/>
        <v>8455</v>
      </c>
      <c r="W74" s="269">
        <f t="shared" si="0"/>
        <v>536.3956000000001</v>
      </c>
      <c r="X74" s="269">
        <f t="shared" si="0"/>
        <v>3215</v>
      </c>
      <c r="Y74" s="269">
        <f t="shared" si="0"/>
        <v>3256</v>
      </c>
      <c r="Z74" s="269">
        <f t="shared" si="0"/>
        <v>54132</v>
      </c>
      <c r="AA74" s="269">
        <f t="shared" si="0"/>
        <v>96.65</v>
      </c>
      <c r="AB74" s="269">
        <f t="shared" si="0"/>
        <v>51390</v>
      </c>
      <c r="AC74" s="269">
        <f t="shared" si="0"/>
        <v>36159</v>
      </c>
      <c r="AD74" s="269">
        <f t="shared" si="0"/>
        <v>25289</v>
      </c>
      <c r="AE74" s="269">
        <f t="shared" si="0"/>
        <v>329.3262</v>
      </c>
      <c r="AF74" s="269">
        <f t="shared" si="0"/>
        <v>1723</v>
      </c>
      <c r="AG74" s="269">
        <f t="shared" si="0"/>
        <v>1585</v>
      </c>
      <c r="AH74" s="269">
        <f t="shared" si="0"/>
        <v>1574</v>
      </c>
      <c r="AI74" s="269">
        <f t="shared" si="0"/>
        <v>137.91</v>
      </c>
      <c r="AJ74" s="269">
        <f t="shared" si="0"/>
        <v>15147</v>
      </c>
      <c r="AK74" s="269">
        <f t="shared" si="0"/>
        <v>5464</v>
      </c>
      <c r="AL74" s="269">
        <f t="shared" si="0"/>
        <v>11980</v>
      </c>
      <c r="AM74" s="269">
        <f t="shared" si="0"/>
        <v>162.737</v>
      </c>
      <c r="AN74" s="269">
        <f t="shared" si="0"/>
        <v>0</v>
      </c>
      <c r="AO74" s="269">
        <f t="shared" si="0"/>
        <v>0</v>
      </c>
      <c r="AP74" s="269">
        <f t="shared" si="0"/>
        <v>59501</v>
      </c>
      <c r="AQ74" s="269">
        <f t="shared" si="0"/>
        <v>145.2</v>
      </c>
      <c r="AR74" s="269">
        <f t="shared" si="0"/>
        <v>12289.74</v>
      </c>
      <c r="AS74" s="269">
        <f t="shared" si="0"/>
        <v>0</v>
      </c>
      <c r="AT74" s="269">
        <f t="shared" si="0"/>
        <v>62812</v>
      </c>
      <c r="AU74" s="269">
        <f t="shared" si="0"/>
        <v>428.48</v>
      </c>
      <c r="AV74" s="346"/>
      <c r="AW74" s="346"/>
      <c r="AX74" s="346"/>
      <c r="AY74" s="347"/>
      <c r="AZ74" s="348"/>
    </row>
    <row r="75" spans="1:52" s="197" customFormat="1" ht="15.75">
      <c r="A75" s="861"/>
      <c r="B75" s="19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4"/>
      <c r="U75" s="24"/>
      <c r="V75" s="24"/>
      <c r="W75" s="24"/>
      <c r="X75" s="24"/>
      <c r="Y75" s="24"/>
      <c r="Z75" s="24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2"/>
      <c r="AW75" s="23"/>
      <c r="AX75" s="22"/>
      <c r="AY75" s="22"/>
      <c r="AZ75" s="22"/>
    </row>
    <row r="76" spans="1:52" s="197" customFormat="1" ht="15.75">
      <c r="A76" s="861"/>
      <c r="B76" s="862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4"/>
      <c r="U76" s="24"/>
      <c r="V76" s="24"/>
      <c r="W76" s="24"/>
      <c r="X76" s="24"/>
      <c r="Y76" s="24"/>
      <c r="Z76" s="24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2"/>
      <c r="AW76" s="23"/>
      <c r="AX76" s="22"/>
      <c r="AY76" s="22"/>
      <c r="AZ76" s="22"/>
    </row>
    <row r="77" spans="1:52" s="197" customFormat="1" ht="15.75">
      <c r="A77" s="861"/>
      <c r="B77" s="862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4"/>
      <c r="U77" s="24"/>
      <c r="V77" s="24"/>
      <c r="W77" s="24"/>
      <c r="X77" s="24"/>
      <c r="Y77" s="24"/>
      <c r="Z77" s="24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2"/>
      <c r="AW77" s="23"/>
      <c r="AX77" s="22"/>
      <c r="AY77" s="22"/>
      <c r="AZ77" s="22"/>
    </row>
    <row r="78" spans="1:52" s="197" customFormat="1" ht="15.75">
      <c r="A78" s="861"/>
      <c r="B78" s="862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4"/>
      <c r="U78" s="24"/>
      <c r="V78" s="24"/>
      <c r="W78" s="24"/>
      <c r="X78" s="24"/>
      <c r="Y78" s="24"/>
      <c r="Z78" s="24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2"/>
      <c r="AW78" s="23"/>
      <c r="AX78" s="22"/>
      <c r="AY78" s="22"/>
      <c r="AZ78" s="22"/>
    </row>
    <row r="79" spans="1:52" s="197" customFormat="1" ht="15.75">
      <c r="A79" s="861"/>
      <c r="B79" s="862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4"/>
      <c r="U79" s="24"/>
      <c r="V79" s="24"/>
      <c r="W79" s="24"/>
      <c r="X79" s="24"/>
      <c r="Y79" s="24"/>
      <c r="Z79" s="24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2"/>
      <c r="AW79" s="23"/>
      <c r="AX79" s="22"/>
      <c r="AY79" s="22"/>
      <c r="AZ79" s="22"/>
    </row>
    <row r="80" spans="1:52" s="197" customFormat="1" ht="15.75">
      <c r="A80" s="861"/>
      <c r="B80" s="863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23"/>
      <c r="AS80" s="23"/>
      <c r="AT80" s="23"/>
      <c r="AU80" s="23"/>
      <c r="AV80" s="22"/>
      <c r="AW80" s="23"/>
      <c r="AX80" s="22"/>
      <c r="AY80" s="22"/>
      <c r="AZ80" s="22"/>
    </row>
    <row r="81" spans="1:52" s="197" customFormat="1" ht="15.75">
      <c r="A81" s="861"/>
      <c r="B81" s="863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23"/>
      <c r="AS81" s="23"/>
      <c r="AT81" s="23"/>
      <c r="AU81" s="23"/>
      <c r="AV81" s="22"/>
      <c r="AW81" s="23"/>
      <c r="AX81" s="22"/>
      <c r="AY81" s="22"/>
      <c r="AZ81" s="22"/>
    </row>
    <row r="82" spans="1:52" s="197" customFormat="1" ht="15.75">
      <c r="A82" s="861"/>
      <c r="B82" s="863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23"/>
      <c r="AS82" s="23"/>
      <c r="AT82" s="23"/>
      <c r="AU82" s="23"/>
      <c r="AV82" s="22"/>
      <c r="AW82" s="23"/>
      <c r="AX82" s="22"/>
      <c r="AY82" s="22"/>
      <c r="AZ82" s="22"/>
    </row>
    <row r="83" spans="1:52" s="197" customFormat="1" ht="15.75">
      <c r="A83" s="861"/>
      <c r="B83" s="863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23"/>
      <c r="AS83" s="23"/>
      <c r="AT83" s="23"/>
      <c r="AU83" s="23"/>
      <c r="AV83" s="22"/>
      <c r="AW83" s="23"/>
      <c r="AX83" s="22"/>
      <c r="AY83" s="22"/>
      <c r="AZ83" s="22"/>
    </row>
    <row r="84" spans="1:52" s="197" customFormat="1" ht="15.75">
      <c r="A84" s="861"/>
      <c r="B84" s="863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23"/>
      <c r="AS84" s="23"/>
      <c r="AT84" s="23"/>
      <c r="AU84" s="23"/>
      <c r="AV84" s="22"/>
      <c r="AW84" s="23"/>
      <c r="AX84" s="22"/>
      <c r="AY84" s="22"/>
      <c r="AZ84" s="22"/>
    </row>
    <row r="85" spans="1:52" s="197" customFormat="1" ht="15.75">
      <c r="A85" s="861"/>
      <c r="B85" s="863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23"/>
      <c r="AS85" s="23"/>
      <c r="AT85" s="23"/>
      <c r="AU85" s="23"/>
      <c r="AV85" s="22"/>
      <c r="AW85" s="23"/>
      <c r="AX85" s="22"/>
      <c r="AY85" s="22"/>
      <c r="AZ85" s="22"/>
    </row>
    <row r="86" spans="1:52" s="197" customFormat="1" ht="15.75">
      <c r="A86" s="861"/>
      <c r="B86" s="863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23"/>
      <c r="AS86" s="23"/>
      <c r="AT86" s="23"/>
      <c r="AU86" s="23"/>
      <c r="AV86" s="22"/>
      <c r="AW86" s="23"/>
      <c r="AX86" s="22"/>
      <c r="AY86" s="22"/>
      <c r="AZ86" s="22"/>
    </row>
    <row r="87" spans="1:52" s="197" customFormat="1" ht="15.75">
      <c r="A87" s="861"/>
      <c r="B87" s="863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23"/>
      <c r="AS87" s="23"/>
      <c r="AT87" s="23"/>
      <c r="AU87" s="23"/>
      <c r="AV87" s="22"/>
      <c r="AW87" s="23"/>
      <c r="AX87" s="22"/>
      <c r="AY87" s="22"/>
      <c r="AZ87" s="22"/>
    </row>
    <row r="88" spans="1:52" s="197" customFormat="1" ht="15.75">
      <c r="A88" s="861"/>
      <c r="B88" s="863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23"/>
      <c r="AS88" s="23"/>
      <c r="AT88" s="23"/>
      <c r="AU88" s="23"/>
      <c r="AV88" s="22"/>
      <c r="AW88" s="23"/>
      <c r="AX88" s="22"/>
      <c r="AY88" s="22"/>
      <c r="AZ88" s="22"/>
    </row>
    <row r="89" spans="1:52" s="197" customFormat="1" ht="15.75">
      <c r="A89" s="861"/>
      <c r="B89" s="863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23"/>
      <c r="AS89" s="23"/>
      <c r="AT89" s="23"/>
      <c r="AU89" s="23"/>
      <c r="AV89" s="22"/>
      <c r="AW89" s="23"/>
      <c r="AX89" s="22"/>
      <c r="AY89" s="22"/>
      <c r="AZ89" s="22"/>
    </row>
    <row r="90" spans="1:52" s="197" customFormat="1" ht="15.75">
      <c r="A90" s="861"/>
      <c r="B90" s="863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23"/>
      <c r="AS90" s="23"/>
      <c r="AT90" s="23"/>
      <c r="AU90" s="23"/>
      <c r="AV90" s="22"/>
      <c r="AW90" s="23"/>
      <c r="AX90" s="22"/>
      <c r="AY90" s="22"/>
      <c r="AZ90" s="22"/>
    </row>
    <row r="91" spans="1:52" s="197" customFormat="1" ht="15.75">
      <c r="A91" s="861"/>
      <c r="B91" s="863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23"/>
      <c r="AS91" s="23"/>
      <c r="AT91" s="23"/>
      <c r="AU91" s="23"/>
      <c r="AV91" s="22"/>
      <c r="AW91" s="23"/>
      <c r="AX91" s="22"/>
      <c r="AY91" s="22"/>
      <c r="AZ91" s="22"/>
    </row>
    <row r="92" spans="1:52" s="197" customFormat="1" ht="15.75">
      <c r="A92" s="861"/>
      <c r="B92" s="863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23"/>
      <c r="AS92" s="23"/>
      <c r="AT92" s="23"/>
      <c r="AU92" s="23"/>
      <c r="AV92" s="22"/>
      <c r="AW92" s="23"/>
      <c r="AX92" s="22"/>
      <c r="AY92" s="22"/>
      <c r="AZ92" s="22"/>
    </row>
    <row r="93" spans="1:52" s="197" customFormat="1" ht="15.75">
      <c r="A93" s="861"/>
      <c r="B93" s="863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23"/>
      <c r="AS93" s="23"/>
      <c r="AT93" s="23"/>
      <c r="AU93" s="23"/>
      <c r="AV93" s="22"/>
      <c r="AW93" s="23"/>
      <c r="AX93" s="22"/>
      <c r="AY93" s="22"/>
      <c r="AZ93" s="22"/>
    </row>
    <row r="94" spans="1:52" s="197" customFormat="1" ht="15.75">
      <c r="A94" s="861"/>
      <c r="B94" s="863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23"/>
      <c r="AS94" s="23"/>
      <c r="AT94" s="23"/>
      <c r="AU94" s="23"/>
      <c r="AV94" s="22"/>
      <c r="AW94" s="23"/>
      <c r="AX94" s="22"/>
      <c r="AY94" s="22"/>
      <c r="AZ94" s="22"/>
    </row>
    <row r="95" spans="1:52" s="197" customFormat="1" ht="15.75">
      <c r="A95" s="861"/>
      <c r="B95" s="863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23"/>
      <c r="AS95" s="23"/>
      <c r="AT95" s="23"/>
      <c r="AU95" s="23"/>
      <c r="AV95" s="22"/>
      <c r="AW95" s="23"/>
      <c r="AX95" s="22"/>
      <c r="AY95" s="22"/>
      <c r="AZ95" s="22"/>
    </row>
    <row r="96" spans="1:52" s="197" customFormat="1" ht="15.75">
      <c r="A96" s="861"/>
      <c r="B96" s="86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23"/>
      <c r="AS96" s="23"/>
      <c r="AT96" s="23"/>
      <c r="AU96" s="23"/>
      <c r="AV96" s="22"/>
      <c r="AW96" s="23"/>
      <c r="AX96" s="22"/>
      <c r="AY96" s="22"/>
      <c r="AZ96" s="22"/>
    </row>
    <row r="97" spans="1:52" s="197" customFormat="1" ht="15.75">
      <c r="A97" s="861"/>
      <c r="B97" s="86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23"/>
      <c r="AS97" s="23"/>
      <c r="AT97" s="23"/>
      <c r="AU97" s="23"/>
      <c r="AV97" s="22"/>
      <c r="AW97" s="23"/>
      <c r="AX97" s="22"/>
      <c r="AY97" s="22"/>
      <c r="AZ97" s="22"/>
    </row>
    <row r="98" spans="1:52" s="197" customFormat="1" ht="15.75">
      <c r="A98" s="861"/>
      <c r="B98" s="86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23"/>
      <c r="AS98" s="23"/>
      <c r="AT98" s="23"/>
      <c r="AU98" s="23"/>
      <c r="AV98" s="22"/>
      <c r="AW98" s="23"/>
      <c r="AX98" s="22"/>
      <c r="AY98" s="22"/>
      <c r="AZ98" s="22"/>
    </row>
    <row r="99" spans="1:52" s="197" customFormat="1" ht="15.75">
      <c r="A99" s="861"/>
      <c r="B99" s="86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23"/>
      <c r="AS99" s="23"/>
      <c r="AT99" s="23"/>
      <c r="AU99" s="23"/>
      <c r="AV99" s="22"/>
      <c r="AW99" s="23"/>
      <c r="AX99" s="22"/>
      <c r="AY99" s="22"/>
      <c r="AZ99" s="22"/>
    </row>
    <row r="100" spans="1:52" s="197" customFormat="1" ht="15.75">
      <c r="A100" s="861"/>
      <c r="B100" s="86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23"/>
      <c r="AS100" s="23"/>
      <c r="AT100" s="23"/>
      <c r="AU100" s="23"/>
      <c r="AV100" s="22"/>
      <c r="AW100" s="23"/>
      <c r="AX100" s="22"/>
      <c r="AY100" s="22"/>
      <c r="AZ100" s="22"/>
    </row>
    <row r="101" spans="1:52" s="197" customFormat="1" ht="15.75">
      <c r="A101" s="861"/>
      <c r="B101" s="86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23"/>
      <c r="AS101" s="23"/>
      <c r="AT101" s="23"/>
      <c r="AU101" s="23"/>
      <c r="AV101" s="22"/>
      <c r="AW101" s="23"/>
      <c r="AX101" s="22"/>
      <c r="AY101" s="22"/>
      <c r="AZ101" s="22"/>
    </row>
    <row r="102" spans="1:52" s="197" customFormat="1" ht="15.75">
      <c r="A102" s="861"/>
      <c r="B102" s="86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23"/>
      <c r="AS102" s="23"/>
      <c r="AT102" s="23"/>
      <c r="AU102" s="23"/>
      <c r="AV102" s="22"/>
      <c r="AW102" s="23"/>
      <c r="AX102" s="22"/>
      <c r="AY102" s="22"/>
      <c r="AZ102" s="22"/>
    </row>
    <row r="103" spans="1:52" s="197" customFormat="1" ht="15.75">
      <c r="A103" s="861"/>
      <c r="B103" s="86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23"/>
      <c r="AS103" s="23"/>
      <c r="AT103" s="23"/>
      <c r="AU103" s="23"/>
      <c r="AV103" s="22"/>
      <c r="AW103" s="23"/>
      <c r="AX103" s="22"/>
      <c r="AY103" s="22"/>
      <c r="AZ103" s="22"/>
    </row>
    <row r="104" spans="1:52" s="197" customFormat="1" ht="15.75">
      <c r="A104" s="861"/>
      <c r="B104" s="86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23"/>
      <c r="AS104" s="23"/>
      <c r="AT104" s="23"/>
      <c r="AU104" s="23"/>
      <c r="AV104" s="22"/>
      <c r="AW104" s="23"/>
      <c r="AX104" s="22"/>
      <c r="AY104" s="22"/>
      <c r="AZ104" s="22"/>
    </row>
    <row r="105" spans="1:52" s="197" customFormat="1" ht="15.75">
      <c r="A105" s="861"/>
      <c r="B105" s="86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23"/>
      <c r="AS105" s="23"/>
      <c r="AT105" s="23"/>
      <c r="AU105" s="23"/>
      <c r="AV105" s="22"/>
      <c r="AW105" s="23"/>
      <c r="AX105" s="22"/>
      <c r="AY105" s="22"/>
      <c r="AZ105" s="22"/>
    </row>
    <row r="106" spans="1:52" s="197" customFormat="1" ht="15.75">
      <c r="A106" s="861"/>
      <c r="B106" s="86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23"/>
      <c r="AS106" s="23"/>
      <c r="AT106" s="23"/>
      <c r="AU106" s="23"/>
      <c r="AV106" s="22"/>
      <c r="AW106" s="23"/>
      <c r="AX106" s="22"/>
      <c r="AY106" s="22"/>
      <c r="AZ106" s="22"/>
    </row>
    <row r="107" spans="1:52" s="197" customFormat="1" ht="15.75">
      <c r="A107" s="861"/>
      <c r="B107" s="86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23"/>
      <c r="AS107" s="23"/>
      <c r="AT107" s="23"/>
      <c r="AU107" s="23"/>
      <c r="AV107" s="22"/>
      <c r="AW107" s="23"/>
      <c r="AX107" s="22"/>
      <c r="AY107" s="22"/>
      <c r="AZ107" s="22"/>
    </row>
    <row r="108" spans="1:52" s="197" customFormat="1" ht="15.75">
      <c r="A108" s="861"/>
      <c r="B108" s="86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23"/>
      <c r="AS108" s="23"/>
      <c r="AT108" s="23"/>
      <c r="AU108" s="23"/>
      <c r="AV108" s="22"/>
      <c r="AW108" s="23"/>
      <c r="AX108" s="22"/>
      <c r="AY108" s="22"/>
      <c r="AZ108" s="22"/>
    </row>
    <row r="109" spans="1:52" s="197" customFormat="1" ht="15.75">
      <c r="A109" s="861"/>
      <c r="B109" s="86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23"/>
      <c r="AS109" s="23"/>
      <c r="AT109" s="23"/>
      <c r="AU109" s="23"/>
      <c r="AV109" s="22"/>
      <c r="AW109" s="23"/>
      <c r="AX109" s="22"/>
      <c r="AY109" s="22"/>
      <c r="AZ109" s="22"/>
    </row>
    <row r="110" spans="1:52" s="197" customFormat="1" ht="15.75">
      <c r="A110" s="861"/>
      <c r="B110" s="86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23"/>
      <c r="AS110" s="23"/>
      <c r="AT110" s="23"/>
      <c r="AU110" s="23"/>
      <c r="AV110" s="22"/>
      <c r="AW110" s="23"/>
      <c r="AX110" s="22"/>
      <c r="AY110" s="22"/>
      <c r="AZ110" s="22"/>
    </row>
    <row r="111" spans="1:52" s="197" customFormat="1" ht="15.75">
      <c r="A111" s="861"/>
      <c r="B111" s="86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23"/>
      <c r="AS111" s="23"/>
      <c r="AT111" s="23"/>
      <c r="AU111" s="23"/>
      <c r="AV111" s="22"/>
      <c r="AW111" s="23"/>
      <c r="AX111" s="22"/>
      <c r="AY111" s="22"/>
      <c r="AZ111" s="22"/>
    </row>
    <row r="112" spans="1:52" s="197" customFormat="1" ht="15.75">
      <c r="A112" s="861"/>
      <c r="B112" s="86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23"/>
      <c r="AS112" s="23"/>
      <c r="AT112" s="23"/>
      <c r="AU112" s="23"/>
      <c r="AV112" s="22"/>
      <c r="AW112" s="23"/>
      <c r="AX112" s="22"/>
      <c r="AY112" s="22"/>
      <c r="AZ112" s="22"/>
    </row>
    <row r="113" spans="1:52" s="197" customFormat="1" ht="15.75">
      <c r="A113" s="861"/>
      <c r="B113" s="86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23"/>
      <c r="AS113" s="23"/>
      <c r="AT113" s="23"/>
      <c r="AU113" s="23"/>
      <c r="AV113" s="22"/>
      <c r="AW113" s="23"/>
      <c r="AX113" s="22"/>
      <c r="AY113" s="22"/>
      <c r="AZ113" s="22"/>
    </row>
    <row r="114" spans="1:52" s="197" customFormat="1" ht="15.75">
      <c r="A114" s="861"/>
      <c r="B114" s="86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23"/>
      <c r="AS114" s="23"/>
      <c r="AT114" s="23"/>
      <c r="AU114" s="23"/>
      <c r="AV114" s="22"/>
      <c r="AW114" s="23"/>
      <c r="AX114" s="22"/>
      <c r="AY114" s="22"/>
      <c r="AZ114" s="22"/>
    </row>
    <row r="115" spans="1:52" s="197" customFormat="1" ht="15.75">
      <c r="A115" s="861"/>
      <c r="B115" s="86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23"/>
      <c r="AS115" s="23"/>
      <c r="AT115" s="23"/>
      <c r="AU115" s="23"/>
      <c r="AV115" s="22"/>
      <c r="AW115" s="23"/>
      <c r="AX115" s="22"/>
      <c r="AY115" s="22"/>
      <c r="AZ115" s="22"/>
    </row>
    <row r="116" spans="1:52" s="197" customFormat="1" ht="15.75">
      <c r="A116" s="861"/>
      <c r="B116" s="86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23"/>
      <c r="AS116" s="23"/>
      <c r="AT116" s="23"/>
      <c r="AU116" s="23"/>
      <c r="AV116" s="22"/>
      <c r="AW116" s="23"/>
      <c r="AX116" s="22"/>
      <c r="AY116" s="22"/>
      <c r="AZ116" s="22"/>
    </row>
    <row r="117" spans="1:52" s="197" customFormat="1" ht="15.75">
      <c r="A117" s="861"/>
      <c r="B117" s="86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23"/>
      <c r="AS117" s="23"/>
      <c r="AT117" s="23"/>
      <c r="AU117" s="23"/>
      <c r="AV117" s="22"/>
      <c r="AW117" s="23"/>
      <c r="AX117" s="22"/>
      <c r="AY117" s="22"/>
      <c r="AZ117" s="22"/>
    </row>
    <row r="118" spans="1:52" s="197" customFormat="1" ht="15.75">
      <c r="A118" s="861"/>
      <c r="B118" s="86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23"/>
      <c r="AS118" s="23"/>
      <c r="AT118" s="23"/>
      <c r="AU118" s="23"/>
      <c r="AV118" s="22"/>
      <c r="AW118" s="23"/>
      <c r="AX118" s="22"/>
      <c r="AY118" s="22"/>
      <c r="AZ118" s="22"/>
    </row>
    <row r="119" spans="1:52" s="197" customFormat="1" ht="15.75">
      <c r="A119" s="861"/>
      <c r="B119" s="86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23"/>
      <c r="AS119" s="23"/>
      <c r="AT119" s="23"/>
      <c r="AU119" s="23"/>
      <c r="AV119" s="22"/>
      <c r="AW119" s="23"/>
      <c r="AX119" s="22"/>
      <c r="AY119" s="22"/>
      <c r="AZ119" s="22"/>
    </row>
    <row r="120" spans="1:52" s="197" customFormat="1" ht="15.75">
      <c r="A120" s="861"/>
      <c r="B120" s="86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23"/>
      <c r="AS120" s="23"/>
      <c r="AT120" s="23"/>
      <c r="AU120" s="23"/>
      <c r="AV120" s="22"/>
      <c r="AW120" s="23"/>
      <c r="AX120" s="22"/>
      <c r="AY120" s="22"/>
      <c r="AZ120" s="22"/>
    </row>
    <row r="121" spans="1:52" s="197" customFormat="1" ht="15.75">
      <c r="A121" s="861"/>
      <c r="B121" s="86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23"/>
      <c r="AS121" s="23"/>
      <c r="AT121" s="23"/>
      <c r="AU121" s="23"/>
      <c r="AV121" s="22"/>
      <c r="AW121" s="23"/>
      <c r="AX121" s="22"/>
      <c r="AY121" s="22"/>
      <c r="AZ121" s="22"/>
    </row>
    <row r="122" spans="1:52" s="197" customFormat="1" ht="15.75">
      <c r="A122" s="861"/>
      <c r="B122" s="86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23"/>
      <c r="AS122" s="23"/>
      <c r="AT122" s="23"/>
      <c r="AU122" s="23"/>
      <c r="AV122" s="22"/>
      <c r="AW122" s="23"/>
      <c r="AX122" s="22"/>
      <c r="AY122" s="22"/>
      <c r="AZ122" s="22"/>
    </row>
    <row r="123" spans="1:52" s="197" customFormat="1" ht="15.75">
      <c r="A123" s="861"/>
      <c r="B123" s="86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23"/>
      <c r="AS123" s="23"/>
      <c r="AT123" s="23"/>
      <c r="AU123" s="23"/>
      <c r="AV123" s="22"/>
      <c r="AW123" s="23"/>
      <c r="AX123" s="22"/>
      <c r="AY123" s="22"/>
      <c r="AZ123" s="22"/>
    </row>
    <row r="124" spans="1:52" s="197" customFormat="1" ht="15.75">
      <c r="A124" s="861"/>
      <c r="B124" s="86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23"/>
      <c r="AS124" s="23"/>
      <c r="AT124" s="23"/>
      <c r="AU124" s="23"/>
      <c r="AV124" s="22"/>
      <c r="AW124" s="23"/>
      <c r="AX124" s="22"/>
      <c r="AY124" s="22"/>
      <c r="AZ124" s="22"/>
    </row>
    <row r="125" spans="1:52" s="197" customFormat="1" ht="15.75">
      <c r="A125" s="861"/>
      <c r="B125" s="86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23"/>
      <c r="AS125" s="23"/>
      <c r="AT125" s="23"/>
      <c r="AU125" s="23"/>
      <c r="AV125" s="22"/>
      <c r="AW125" s="23"/>
      <c r="AX125" s="22"/>
      <c r="AY125" s="22"/>
      <c r="AZ125" s="22"/>
    </row>
    <row r="126" spans="1:52" s="197" customFormat="1" ht="15.75">
      <c r="A126" s="861"/>
      <c r="B126" s="86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23"/>
      <c r="AS126" s="23"/>
      <c r="AT126" s="23"/>
      <c r="AU126" s="23"/>
      <c r="AV126" s="22"/>
      <c r="AW126" s="23"/>
      <c r="AX126" s="22"/>
      <c r="AY126" s="22"/>
      <c r="AZ126" s="22"/>
    </row>
    <row r="127" spans="1:52" s="197" customFormat="1" ht="15.75">
      <c r="A127" s="861"/>
      <c r="B127" s="86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23"/>
      <c r="AS127" s="23"/>
      <c r="AT127" s="23"/>
      <c r="AU127" s="23"/>
      <c r="AV127" s="22"/>
      <c r="AW127" s="23"/>
      <c r="AX127" s="22"/>
      <c r="AY127" s="22"/>
      <c r="AZ127" s="22"/>
    </row>
    <row r="128" spans="1:52" s="197" customFormat="1" ht="15.75">
      <c r="A128" s="861"/>
      <c r="B128" s="86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23"/>
      <c r="AS128" s="23"/>
      <c r="AT128" s="23"/>
      <c r="AU128" s="23"/>
      <c r="AV128" s="22"/>
      <c r="AW128" s="23"/>
      <c r="AX128" s="22"/>
      <c r="AY128" s="22"/>
      <c r="AZ128" s="22"/>
    </row>
    <row r="129" spans="1:52" s="197" customFormat="1" ht="15.75">
      <c r="A129" s="861"/>
      <c r="B129" s="86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23"/>
      <c r="AS129" s="23"/>
      <c r="AT129" s="23"/>
      <c r="AU129" s="23"/>
      <c r="AV129" s="22"/>
      <c r="AW129" s="23"/>
      <c r="AX129" s="22"/>
      <c r="AY129" s="22"/>
      <c r="AZ129" s="22"/>
    </row>
    <row r="130" spans="1:52" s="197" customFormat="1" ht="15.75">
      <c r="A130" s="861"/>
      <c r="B130" s="86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23"/>
      <c r="AS130" s="23"/>
      <c r="AT130" s="23"/>
      <c r="AU130" s="23"/>
      <c r="AV130" s="22"/>
      <c r="AW130" s="23"/>
      <c r="AX130" s="22"/>
      <c r="AY130" s="22"/>
      <c r="AZ130" s="22"/>
    </row>
    <row r="131" spans="1:52" s="197" customFormat="1" ht="15.75">
      <c r="A131" s="861"/>
      <c r="B131" s="86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23"/>
      <c r="AS131" s="23"/>
      <c r="AT131" s="23"/>
      <c r="AU131" s="23"/>
      <c r="AV131" s="22"/>
      <c r="AW131" s="23"/>
      <c r="AX131" s="22"/>
      <c r="AY131" s="22"/>
      <c r="AZ131" s="22"/>
    </row>
    <row r="132" spans="1:52" s="197" customFormat="1" ht="15.75">
      <c r="A132" s="861"/>
      <c r="B132" s="86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23"/>
      <c r="AS132" s="23"/>
      <c r="AT132" s="23"/>
      <c r="AU132" s="23"/>
      <c r="AV132" s="22"/>
      <c r="AW132" s="23"/>
      <c r="AX132" s="22"/>
      <c r="AY132" s="22"/>
      <c r="AZ132" s="22"/>
    </row>
    <row r="133" spans="1:52" s="197" customFormat="1" ht="15.75">
      <c r="A133" s="861"/>
      <c r="B133" s="86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23"/>
      <c r="AS133" s="23"/>
      <c r="AT133" s="23"/>
      <c r="AU133" s="23"/>
      <c r="AV133" s="22"/>
      <c r="AW133" s="23"/>
      <c r="AX133" s="22"/>
      <c r="AY133" s="22"/>
      <c r="AZ133" s="22"/>
    </row>
    <row r="134" spans="1:52" s="197" customFormat="1" ht="15.75">
      <c r="A134" s="861"/>
      <c r="B134" s="86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23"/>
      <c r="AS134" s="23"/>
      <c r="AT134" s="23"/>
      <c r="AU134" s="23"/>
      <c r="AV134" s="22"/>
      <c r="AW134" s="23"/>
      <c r="AX134" s="22"/>
      <c r="AY134" s="22"/>
      <c r="AZ134" s="22"/>
    </row>
    <row r="135" spans="1:52" s="197" customFormat="1" ht="15.75">
      <c r="A135" s="861"/>
      <c r="B135" s="86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23"/>
      <c r="AS135" s="23"/>
      <c r="AT135" s="23"/>
      <c r="AU135" s="23"/>
      <c r="AV135" s="22"/>
      <c r="AW135" s="23"/>
      <c r="AX135" s="22"/>
      <c r="AY135" s="22"/>
      <c r="AZ135" s="22"/>
    </row>
    <row r="136" spans="1:52" s="197" customFormat="1" ht="15.75">
      <c r="A136" s="861"/>
      <c r="B136" s="86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23"/>
      <c r="AS136" s="23"/>
      <c r="AT136" s="23"/>
      <c r="AU136" s="23"/>
      <c r="AV136" s="22"/>
      <c r="AW136" s="23"/>
      <c r="AX136" s="22"/>
      <c r="AY136" s="22"/>
      <c r="AZ136" s="22"/>
    </row>
    <row r="137" spans="1:52" s="197" customFormat="1" ht="15.75">
      <c r="A137" s="861"/>
      <c r="B137" s="86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23"/>
      <c r="AS137" s="23"/>
      <c r="AT137" s="23"/>
      <c r="AU137" s="23"/>
      <c r="AV137" s="22"/>
      <c r="AW137" s="23"/>
      <c r="AX137" s="22"/>
      <c r="AY137" s="22"/>
      <c r="AZ137" s="22"/>
    </row>
    <row r="138" spans="1:52" s="197" customFormat="1" ht="15.75">
      <c r="A138" s="861"/>
      <c r="B138" s="86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23"/>
      <c r="AS138" s="23"/>
      <c r="AT138" s="23"/>
      <c r="AU138" s="23"/>
      <c r="AV138" s="22"/>
      <c r="AW138" s="23"/>
      <c r="AX138" s="22"/>
      <c r="AY138" s="22"/>
      <c r="AZ138" s="22"/>
    </row>
    <row r="139" spans="1:52" s="197" customFormat="1" ht="15.75">
      <c r="A139" s="861"/>
      <c r="B139" s="86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23"/>
      <c r="AS139" s="23"/>
      <c r="AT139" s="23"/>
      <c r="AU139" s="23"/>
      <c r="AV139" s="22"/>
      <c r="AW139" s="23"/>
      <c r="AX139" s="22"/>
      <c r="AY139" s="22"/>
      <c r="AZ139" s="22"/>
    </row>
    <row r="140" spans="1:52" s="197" customFormat="1" ht="15.75">
      <c r="A140" s="861"/>
      <c r="B140" s="86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23"/>
      <c r="AS140" s="23"/>
      <c r="AT140" s="23"/>
      <c r="AU140" s="23"/>
      <c r="AV140" s="22"/>
      <c r="AW140" s="23"/>
      <c r="AX140" s="22"/>
      <c r="AY140" s="22"/>
      <c r="AZ140" s="22"/>
    </row>
    <row r="141" spans="1:52" s="197" customFormat="1" ht="15.75">
      <c r="A141" s="861"/>
      <c r="B141" s="86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23"/>
      <c r="AS141" s="23"/>
      <c r="AT141" s="23"/>
      <c r="AU141" s="23"/>
      <c r="AV141" s="22"/>
      <c r="AW141" s="23"/>
      <c r="AX141" s="22"/>
      <c r="AY141" s="22"/>
      <c r="AZ141" s="22"/>
    </row>
    <row r="142" spans="1:52" s="197" customFormat="1" ht="15.75">
      <c r="A142" s="861"/>
      <c r="B142" s="86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23"/>
      <c r="AS142" s="23"/>
      <c r="AT142" s="23"/>
      <c r="AU142" s="23"/>
      <c r="AV142" s="22"/>
      <c r="AW142" s="23"/>
      <c r="AX142" s="22"/>
      <c r="AY142" s="22"/>
      <c r="AZ142" s="22"/>
    </row>
    <row r="143" spans="1:52" s="197" customFormat="1" ht="15.75">
      <c r="A143" s="861"/>
      <c r="B143" s="86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23"/>
      <c r="AS143" s="23"/>
      <c r="AT143" s="23"/>
      <c r="AU143" s="23"/>
      <c r="AV143" s="22"/>
      <c r="AW143" s="23"/>
      <c r="AX143" s="22"/>
      <c r="AY143" s="22"/>
      <c r="AZ143" s="22"/>
    </row>
    <row r="144" spans="1:52" s="197" customFormat="1" ht="15.75">
      <c r="A144" s="861"/>
      <c r="B144" s="86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23"/>
      <c r="AS144" s="23"/>
      <c r="AT144" s="23"/>
      <c r="AU144" s="23"/>
      <c r="AV144" s="22"/>
      <c r="AW144" s="23"/>
      <c r="AX144" s="22"/>
      <c r="AY144" s="22"/>
      <c r="AZ144" s="22"/>
    </row>
    <row r="145" spans="44:52" ht="15.75">
      <c r="AR145" s="23"/>
      <c r="AS145" s="23"/>
      <c r="AT145" s="23"/>
      <c r="AU145" s="23"/>
      <c r="AV145" s="22"/>
      <c r="AW145" s="23"/>
      <c r="AX145" s="22"/>
      <c r="AY145" s="22"/>
      <c r="AZ145" s="22"/>
    </row>
    <row r="146" spans="44:52" ht="15.75">
      <c r="AR146" s="23"/>
      <c r="AS146" s="23"/>
      <c r="AT146" s="23"/>
      <c r="AU146" s="23"/>
      <c r="AV146" s="22"/>
      <c r="AW146" s="23"/>
      <c r="AX146" s="22"/>
      <c r="AY146" s="22"/>
      <c r="AZ146" s="22"/>
    </row>
    <row r="147" spans="44:52" ht="15.75">
      <c r="AR147" s="23"/>
      <c r="AS147" s="23"/>
      <c r="AT147" s="23"/>
      <c r="AU147" s="23"/>
      <c r="AV147" s="22"/>
      <c r="AW147" s="23"/>
      <c r="AX147" s="22"/>
      <c r="AY147" s="22"/>
      <c r="AZ147" s="22"/>
    </row>
    <row r="148" spans="44:52" ht="15.75">
      <c r="AR148" s="23"/>
      <c r="AS148" s="23"/>
      <c r="AT148" s="23"/>
      <c r="AU148" s="23"/>
      <c r="AV148" s="22"/>
      <c r="AW148" s="23"/>
      <c r="AX148" s="22"/>
      <c r="AY148" s="22"/>
      <c r="AZ148" s="22"/>
    </row>
    <row r="149" spans="44:52" ht="15.75">
      <c r="AR149" s="23"/>
      <c r="AS149" s="23"/>
      <c r="AT149" s="23"/>
      <c r="AU149" s="23"/>
      <c r="AV149" s="22"/>
      <c r="AW149" s="23"/>
      <c r="AX149" s="22"/>
      <c r="AY149" s="22"/>
      <c r="AZ149" s="22"/>
    </row>
    <row r="150" spans="44:52" ht="15.75">
      <c r="AR150" s="23"/>
      <c r="AS150" s="23"/>
      <c r="AT150" s="23"/>
      <c r="AU150" s="23"/>
      <c r="AV150" s="22"/>
      <c r="AW150" s="23"/>
      <c r="AX150" s="22"/>
      <c r="AY150" s="22"/>
      <c r="AZ150" s="22"/>
    </row>
    <row r="151" spans="44:52" ht="15.75">
      <c r="AR151" s="23"/>
      <c r="AS151" s="23"/>
      <c r="AT151" s="23"/>
      <c r="AU151" s="23"/>
      <c r="AV151" s="22"/>
      <c r="AW151" s="23"/>
      <c r="AX151" s="22"/>
      <c r="AY151" s="22"/>
      <c r="AZ151" s="22"/>
    </row>
  </sheetData>
  <sheetProtection/>
  <mergeCells count="82">
    <mergeCell ref="A63:A66"/>
    <mergeCell ref="B63:B66"/>
    <mergeCell ref="AQ63:AQ66"/>
    <mergeCell ref="A69:A71"/>
    <mergeCell ref="B69:B71"/>
    <mergeCell ref="AQ31:AQ32"/>
    <mergeCell ref="H46:H62"/>
    <mergeCell ref="I46:I62"/>
    <mergeCell ref="J46:J62"/>
    <mergeCell ref="K46:K62"/>
    <mergeCell ref="V47:V57"/>
    <mergeCell ref="W47:W57"/>
    <mergeCell ref="AQ48:AQ51"/>
    <mergeCell ref="B25:B30"/>
    <mergeCell ref="A31:A32"/>
    <mergeCell ref="B31:B32"/>
    <mergeCell ref="G31:G32"/>
    <mergeCell ref="AM31:AM32"/>
    <mergeCell ref="AP31:AP32"/>
    <mergeCell ref="AL6:AL17"/>
    <mergeCell ref="AM6:AM17"/>
    <mergeCell ref="AA9:AA18"/>
    <mergeCell ref="AQ12:AQ14"/>
    <mergeCell ref="B19:B23"/>
    <mergeCell ref="H19:H22"/>
    <mergeCell ref="I19:I22"/>
    <mergeCell ref="J19:J22"/>
    <mergeCell ref="K19:K22"/>
    <mergeCell ref="AZ4:AZ5"/>
    <mergeCell ref="A6:A8"/>
    <mergeCell ref="B6:B18"/>
    <mergeCell ref="K6:K17"/>
    <mergeCell ref="T6:T7"/>
    <mergeCell ref="U6:U7"/>
    <mergeCell ref="V6:V7"/>
    <mergeCell ref="W6:W14"/>
    <mergeCell ref="AE6:AE13"/>
    <mergeCell ref="AJ6:AK17"/>
    <mergeCell ref="AR4:AS4"/>
    <mergeCell ref="AT4:AU4"/>
    <mergeCell ref="AV4:AV5"/>
    <mergeCell ref="AW4:AW5"/>
    <mergeCell ref="AX4:AX5"/>
    <mergeCell ref="AY4:AY5"/>
    <mergeCell ref="AF4:AG4"/>
    <mergeCell ref="AH4:AI4"/>
    <mergeCell ref="AJ4:AK4"/>
    <mergeCell ref="AL4:AM4"/>
    <mergeCell ref="AN4:AO4"/>
    <mergeCell ref="AP4:AQ4"/>
    <mergeCell ref="T4:U4"/>
    <mergeCell ref="V4:W4"/>
    <mergeCell ref="X4:Y4"/>
    <mergeCell ref="Z4:AA4"/>
    <mergeCell ref="AB4:AC4"/>
    <mergeCell ref="AD4:AE4"/>
    <mergeCell ref="H4:I4"/>
    <mergeCell ref="J4:K4"/>
    <mergeCell ref="L4:M4"/>
    <mergeCell ref="N4:O4"/>
    <mergeCell ref="P4:Q4"/>
    <mergeCell ref="R4:S4"/>
    <mergeCell ref="AF3:AI3"/>
    <mergeCell ref="AJ3:AM3"/>
    <mergeCell ref="AN3:AQ3"/>
    <mergeCell ref="AR3:AU3"/>
    <mergeCell ref="AV3:AY3"/>
    <mergeCell ref="A4:A5"/>
    <mergeCell ref="B4:B5"/>
    <mergeCell ref="C4:C5"/>
    <mergeCell ref="D4:E4"/>
    <mergeCell ref="F4:G4"/>
    <mergeCell ref="A1:AZ1"/>
    <mergeCell ref="A2:AZ2"/>
    <mergeCell ref="A3:C3"/>
    <mergeCell ref="D3:G3"/>
    <mergeCell ref="H3:K3"/>
    <mergeCell ref="L3:O3"/>
    <mergeCell ref="P3:S3"/>
    <mergeCell ref="T3:W3"/>
    <mergeCell ref="X3:AA3"/>
    <mergeCell ref="AB3:AE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J130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5"/>
  <cols>
    <col min="1" max="1" width="9.140625" style="23" customWidth="1"/>
    <col min="2" max="2" width="23.140625" style="894" customWidth="1"/>
    <col min="3" max="3" width="27.8515625" style="11" customWidth="1"/>
    <col min="4" max="4" width="5.8515625" style="11" customWidth="1"/>
    <col min="5" max="5" width="5.00390625" style="11" customWidth="1"/>
    <col min="6" max="6" width="6.28125" style="11" customWidth="1"/>
    <col min="7" max="7" width="6.140625" style="11" customWidth="1"/>
    <col min="8" max="14" width="5.00390625" style="11" customWidth="1"/>
    <col min="15" max="22" width="6.140625" style="11" customWidth="1"/>
    <col min="23" max="23" width="6.421875" style="11" customWidth="1"/>
    <col min="24" max="25" width="5.00390625" style="11" customWidth="1"/>
    <col min="26" max="26" width="5.8515625" style="11" customWidth="1"/>
    <col min="27" max="31" width="7.421875" style="11" customWidth="1"/>
    <col min="32" max="32" width="9.8515625" style="24" customWidth="1"/>
    <col min="33" max="33" width="9.140625" style="21" customWidth="1"/>
    <col min="34" max="34" width="19.7109375" style="24" customWidth="1"/>
    <col min="35" max="35" width="9.140625" style="24" customWidth="1"/>
    <col min="36" max="36" width="26.28125" style="24" customWidth="1"/>
    <col min="37" max="16384" width="9.140625" style="254" customWidth="1"/>
  </cols>
  <sheetData>
    <row r="1" spans="1:36" s="826" customFormat="1" ht="16.5" thickBot="1">
      <c r="A1" s="1181" t="s">
        <v>1342</v>
      </c>
      <c r="B1" s="1182"/>
      <c r="C1" s="1182"/>
      <c r="D1" s="1182"/>
      <c r="E1" s="1182"/>
      <c r="F1" s="1182"/>
      <c r="G1" s="1182"/>
      <c r="H1" s="1182"/>
      <c r="I1" s="1182"/>
      <c r="J1" s="1182"/>
      <c r="K1" s="1182"/>
      <c r="L1" s="1182"/>
      <c r="M1" s="1182"/>
      <c r="N1" s="1182"/>
      <c r="O1" s="1182"/>
      <c r="P1" s="1182"/>
      <c r="Q1" s="1182"/>
      <c r="R1" s="1182"/>
      <c r="S1" s="1182"/>
      <c r="T1" s="1182"/>
      <c r="U1" s="1182"/>
      <c r="V1" s="1182"/>
      <c r="W1" s="1182"/>
      <c r="X1" s="1182"/>
      <c r="Y1" s="1182"/>
      <c r="Z1" s="1182"/>
      <c r="AA1" s="1182"/>
      <c r="AB1" s="1182"/>
      <c r="AC1" s="1182"/>
      <c r="AD1" s="1182"/>
      <c r="AE1" s="1182"/>
      <c r="AF1" s="1182"/>
      <c r="AG1" s="1182"/>
      <c r="AH1" s="1182"/>
      <c r="AI1" s="1182"/>
      <c r="AJ1" s="1183"/>
    </row>
    <row r="2" spans="1:36" s="598" customFormat="1" ht="16.5" thickBot="1">
      <c r="A2" s="1297" t="s">
        <v>550</v>
      </c>
      <c r="B2" s="1298"/>
      <c r="C2" s="1298"/>
      <c r="D2" s="1298"/>
      <c r="E2" s="1298"/>
      <c r="F2" s="1298"/>
      <c r="G2" s="1298"/>
      <c r="H2" s="1298"/>
      <c r="I2" s="1298"/>
      <c r="J2" s="1298"/>
      <c r="K2" s="1298"/>
      <c r="L2" s="1298"/>
      <c r="M2" s="1298"/>
      <c r="N2" s="1298"/>
      <c r="O2" s="1298"/>
      <c r="P2" s="1298"/>
      <c r="Q2" s="1298"/>
      <c r="R2" s="1298"/>
      <c r="S2" s="1298"/>
      <c r="T2" s="1298"/>
      <c r="U2" s="1298"/>
      <c r="V2" s="1298"/>
      <c r="W2" s="1298"/>
      <c r="X2" s="1298"/>
      <c r="Y2" s="1298"/>
      <c r="Z2" s="1298"/>
      <c r="AA2" s="1298"/>
      <c r="AB2" s="1298"/>
      <c r="AC2" s="1298"/>
      <c r="AD2" s="1298"/>
      <c r="AE2" s="1298"/>
      <c r="AF2" s="1298"/>
      <c r="AG2" s="1298"/>
      <c r="AH2" s="1298"/>
      <c r="AI2" s="1298"/>
      <c r="AJ2" s="1299"/>
    </row>
    <row r="3" spans="1:36" s="598" customFormat="1" ht="15.75" customHeight="1" thickBot="1">
      <c r="A3" s="1293"/>
      <c r="B3" s="1141"/>
      <c r="C3" s="1142"/>
      <c r="D3" s="1140" t="s">
        <v>1343</v>
      </c>
      <c r="E3" s="1141"/>
      <c r="F3" s="1141"/>
      <c r="G3" s="1142"/>
      <c r="H3" s="1140" t="s">
        <v>1074</v>
      </c>
      <c r="I3" s="1141"/>
      <c r="J3" s="1141"/>
      <c r="K3" s="1142"/>
      <c r="L3" s="1140" t="s">
        <v>1075</v>
      </c>
      <c r="M3" s="1141"/>
      <c r="N3" s="1141"/>
      <c r="O3" s="1142"/>
      <c r="P3" s="1140" t="s">
        <v>1076</v>
      </c>
      <c r="Q3" s="1141"/>
      <c r="R3" s="1141"/>
      <c r="S3" s="1142"/>
      <c r="T3" s="1140" t="s">
        <v>1077</v>
      </c>
      <c r="U3" s="1141"/>
      <c r="V3" s="1141"/>
      <c r="W3" s="1142"/>
      <c r="X3" s="1140" t="s">
        <v>1078</v>
      </c>
      <c r="Y3" s="1141"/>
      <c r="Z3" s="1141"/>
      <c r="AA3" s="1142"/>
      <c r="AB3" s="1140" t="s">
        <v>1079</v>
      </c>
      <c r="AC3" s="1141"/>
      <c r="AD3" s="1141"/>
      <c r="AE3" s="1142"/>
      <c r="AF3" s="1140"/>
      <c r="AG3" s="1141"/>
      <c r="AH3" s="1141"/>
      <c r="AI3" s="1141"/>
      <c r="AJ3" s="1294"/>
    </row>
    <row r="4" spans="1:36" s="598" customFormat="1" ht="15.75" customHeight="1">
      <c r="A4" s="1338" t="s">
        <v>116</v>
      </c>
      <c r="B4" s="1340" t="s">
        <v>187</v>
      </c>
      <c r="C4" s="1340" t="s">
        <v>20</v>
      </c>
      <c r="D4" s="1342" t="s">
        <v>112</v>
      </c>
      <c r="E4" s="1342"/>
      <c r="F4" s="1342" t="s">
        <v>113</v>
      </c>
      <c r="G4" s="1342"/>
      <c r="H4" s="1342" t="s">
        <v>112</v>
      </c>
      <c r="I4" s="1342"/>
      <c r="J4" s="1342" t="s">
        <v>113</v>
      </c>
      <c r="K4" s="1342"/>
      <c r="L4" s="1342" t="s">
        <v>112</v>
      </c>
      <c r="M4" s="1342"/>
      <c r="N4" s="1342" t="s">
        <v>113</v>
      </c>
      <c r="O4" s="1342"/>
      <c r="P4" s="1342" t="s">
        <v>112</v>
      </c>
      <c r="Q4" s="1342"/>
      <c r="R4" s="1342" t="s">
        <v>113</v>
      </c>
      <c r="S4" s="1342"/>
      <c r="T4" s="1342" t="s">
        <v>112</v>
      </c>
      <c r="U4" s="1342"/>
      <c r="V4" s="1342" t="s">
        <v>113</v>
      </c>
      <c r="W4" s="1342"/>
      <c r="X4" s="1342" t="s">
        <v>112</v>
      </c>
      <c r="Y4" s="1342"/>
      <c r="Z4" s="1342" t="s">
        <v>113</v>
      </c>
      <c r="AA4" s="1342"/>
      <c r="AB4" s="1342" t="s">
        <v>112</v>
      </c>
      <c r="AC4" s="1342"/>
      <c r="AD4" s="1342" t="s">
        <v>113</v>
      </c>
      <c r="AE4" s="1342"/>
      <c r="AF4" s="1343" t="s">
        <v>4</v>
      </c>
      <c r="AG4" s="1340" t="s">
        <v>855</v>
      </c>
      <c r="AH4" s="1340" t="s">
        <v>5</v>
      </c>
      <c r="AI4" s="1340" t="s">
        <v>83</v>
      </c>
      <c r="AJ4" s="1351" t="s">
        <v>84</v>
      </c>
    </row>
    <row r="5" spans="1:36" s="598" customFormat="1" ht="98.25" thickBot="1">
      <c r="A5" s="1339"/>
      <c r="B5" s="1341"/>
      <c r="C5" s="1341"/>
      <c r="D5" s="864" t="s">
        <v>6</v>
      </c>
      <c r="E5" s="417" t="s">
        <v>7</v>
      </c>
      <c r="F5" s="417" t="s">
        <v>6</v>
      </c>
      <c r="G5" s="417" t="s">
        <v>188</v>
      </c>
      <c r="H5" s="864" t="s">
        <v>6</v>
      </c>
      <c r="I5" s="417" t="s">
        <v>7</v>
      </c>
      <c r="J5" s="417" t="s">
        <v>6</v>
      </c>
      <c r="K5" s="417" t="s">
        <v>188</v>
      </c>
      <c r="L5" s="864" t="s">
        <v>6</v>
      </c>
      <c r="M5" s="417" t="s">
        <v>7</v>
      </c>
      <c r="N5" s="417" t="s">
        <v>6</v>
      </c>
      <c r="O5" s="417" t="s">
        <v>188</v>
      </c>
      <c r="P5" s="864" t="s">
        <v>6</v>
      </c>
      <c r="Q5" s="417" t="s">
        <v>7</v>
      </c>
      <c r="R5" s="417" t="s">
        <v>6</v>
      </c>
      <c r="S5" s="417" t="s">
        <v>188</v>
      </c>
      <c r="T5" s="864" t="s">
        <v>6</v>
      </c>
      <c r="U5" s="417" t="s">
        <v>7</v>
      </c>
      <c r="V5" s="417" t="s">
        <v>6</v>
      </c>
      <c r="W5" s="417" t="s">
        <v>188</v>
      </c>
      <c r="X5" s="864" t="s">
        <v>6</v>
      </c>
      <c r="Y5" s="417" t="s">
        <v>7</v>
      </c>
      <c r="Z5" s="417" t="s">
        <v>6</v>
      </c>
      <c r="AA5" s="417" t="s">
        <v>188</v>
      </c>
      <c r="AB5" s="864" t="s">
        <v>6</v>
      </c>
      <c r="AC5" s="417" t="s">
        <v>7</v>
      </c>
      <c r="AD5" s="417" t="s">
        <v>6</v>
      </c>
      <c r="AE5" s="417" t="s">
        <v>188</v>
      </c>
      <c r="AF5" s="1344"/>
      <c r="AG5" s="1341"/>
      <c r="AH5" s="1341"/>
      <c r="AI5" s="1341"/>
      <c r="AJ5" s="1352"/>
    </row>
    <row r="6" spans="1:36" s="598" customFormat="1" ht="15" customHeight="1">
      <c r="A6" s="1353" t="s">
        <v>190</v>
      </c>
      <c r="B6" s="1356" t="s">
        <v>191</v>
      </c>
      <c r="C6" s="145" t="s">
        <v>22</v>
      </c>
      <c r="D6" s="203">
        <v>540</v>
      </c>
      <c r="E6" s="203">
        <v>0</v>
      </c>
      <c r="F6" s="203">
        <v>20</v>
      </c>
      <c r="G6" s="1359">
        <v>10</v>
      </c>
      <c r="H6" s="203"/>
      <c r="I6" s="203"/>
      <c r="J6" s="689">
        <v>60</v>
      </c>
      <c r="K6" s="689">
        <v>3.21</v>
      </c>
      <c r="L6" s="203"/>
      <c r="M6" s="203"/>
      <c r="N6" s="203">
        <v>2</v>
      </c>
      <c r="O6" s="203">
        <v>2.5095</v>
      </c>
      <c r="P6" s="203"/>
      <c r="Q6" s="93"/>
      <c r="R6" s="93"/>
      <c r="S6" s="93"/>
      <c r="T6" s="203">
        <v>40</v>
      </c>
      <c r="U6" s="203">
        <v>40</v>
      </c>
      <c r="V6" s="203" t="s">
        <v>575</v>
      </c>
      <c r="W6" s="865">
        <v>3</v>
      </c>
      <c r="X6" s="91"/>
      <c r="Y6" s="91"/>
      <c r="Z6" s="68">
        <v>20</v>
      </c>
      <c r="AA6" s="68">
        <v>0.6</v>
      </c>
      <c r="AB6" s="559">
        <v>80</v>
      </c>
      <c r="AC6" s="559">
        <v>0</v>
      </c>
      <c r="AD6" s="559">
        <v>80</v>
      </c>
      <c r="AE6" s="1362">
        <v>3</v>
      </c>
      <c r="AF6" s="329" t="s">
        <v>589</v>
      </c>
      <c r="AG6" s="329">
        <v>20</v>
      </c>
      <c r="AH6" s="329" t="s">
        <v>578</v>
      </c>
      <c r="AI6" s="329" t="s">
        <v>306</v>
      </c>
      <c r="AJ6" s="121" t="s">
        <v>335</v>
      </c>
    </row>
    <row r="7" spans="1:36" s="598" customFormat="1" ht="15" customHeight="1">
      <c r="A7" s="1354"/>
      <c r="B7" s="1357"/>
      <c r="C7" s="145" t="s">
        <v>596</v>
      </c>
      <c r="D7" s="203"/>
      <c r="E7" s="203"/>
      <c r="F7" s="203"/>
      <c r="G7" s="1360"/>
      <c r="H7" s="203"/>
      <c r="I7" s="203"/>
      <c r="J7" s="203"/>
      <c r="K7" s="203"/>
      <c r="L7" s="203"/>
      <c r="M7" s="203"/>
      <c r="N7" s="203">
        <v>15</v>
      </c>
      <c r="O7" s="203">
        <v>1.5337</v>
      </c>
      <c r="P7" s="203"/>
      <c r="Q7" s="93"/>
      <c r="R7" s="93"/>
      <c r="S7" s="93"/>
      <c r="T7" s="93"/>
      <c r="U7" s="93"/>
      <c r="V7" s="93"/>
      <c r="W7" s="93"/>
      <c r="X7" s="145"/>
      <c r="Y7" s="145"/>
      <c r="Z7" s="145"/>
      <c r="AA7" s="145"/>
      <c r="AB7" s="170"/>
      <c r="AC7" s="170"/>
      <c r="AD7" s="170"/>
      <c r="AE7" s="1363"/>
      <c r="AF7" s="329" t="s">
        <v>35</v>
      </c>
      <c r="AG7" s="329">
        <v>20</v>
      </c>
      <c r="AH7" s="329" t="s">
        <v>578</v>
      </c>
      <c r="AI7" s="329" t="s">
        <v>306</v>
      </c>
      <c r="AJ7" s="121" t="s">
        <v>335</v>
      </c>
    </row>
    <row r="8" spans="1:36" s="598" customFormat="1" ht="15" customHeight="1">
      <c r="A8" s="1355"/>
      <c r="B8" s="1357"/>
      <c r="C8" s="145" t="s">
        <v>597</v>
      </c>
      <c r="D8" s="203"/>
      <c r="E8" s="203"/>
      <c r="F8" s="203"/>
      <c r="G8" s="1360"/>
      <c r="H8" s="203"/>
      <c r="I8" s="203"/>
      <c r="J8" s="689"/>
      <c r="K8" s="689"/>
      <c r="L8" s="203"/>
      <c r="M8" s="203"/>
      <c r="N8" s="203">
        <v>2</v>
      </c>
      <c r="O8" s="203">
        <v>0.95</v>
      </c>
      <c r="P8" s="203"/>
      <c r="Q8" s="145"/>
      <c r="R8" s="145"/>
      <c r="S8" s="145"/>
      <c r="T8" s="145"/>
      <c r="U8" s="145"/>
      <c r="V8" s="145"/>
      <c r="W8" s="145"/>
      <c r="X8" s="145"/>
      <c r="Y8" s="145"/>
      <c r="Z8" s="68"/>
      <c r="AA8" s="68"/>
      <c r="AB8" s="559"/>
      <c r="AC8" s="559"/>
      <c r="AD8" s="559"/>
      <c r="AE8" s="1363"/>
      <c r="AF8" s="329" t="s">
        <v>23</v>
      </c>
      <c r="AG8" s="329">
        <v>30</v>
      </c>
      <c r="AH8" s="329" t="s">
        <v>578</v>
      </c>
      <c r="AI8" s="329" t="s">
        <v>306</v>
      </c>
      <c r="AJ8" s="121" t="s">
        <v>335</v>
      </c>
    </row>
    <row r="9" spans="1:36" s="598" customFormat="1" ht="15.75">
      <c r="A9" s="882" t="s">
        <v>249</v>
      </c>
      <c r="B9" s="1357"/>
      <c r="C9" s="145" t="s">
        <v>248</v>
      </c>
      <c r="D9" s="203"/>
      <c r="E9" s="203"/>
      <c r="F9" s="203">
        <v>5</v>
      </c>
      <c r="G9" s="1360"/>
      <c r="H9" s="203"/>
      <c r="I9" s="203"/>
      <c r="J9" s="689">
        <v>20</v>
      </c>
      <c r="K9" s="689">
        <v>0.39</v>
      </c>
      <c r="L9" s="203"/>
      <c r="M9" s="203"/>
      <c r="N9" s="203"/>
      <c r="O9" s="203"/>
      <c r="P9" s="203"/>
      <c r="Q9" s="145"/>
      <c r="R9" s="145"/>
      <c r="S9" s="145"/>
      <c r="T9" s="145"/>
      <c r="U9" s="145"/>
      <c r="V9" s="145"/>
      <c r="W9" s="145"/>
      <c r="X9" s="145"/>
      <c r="Y9" s="145"/>
      <c r="Z9" s="68">
        <v>20</v>
      </c>
      <c r="AA9" s="68">
        <v>0.3</v>
      </c>
      <c r="AB9" s="559"/>
      <c r="AC9" s="559"/>
      <c r="AD9" s="559"/>
      <c r="AE9" s="1363"/>
      <c r="AF9" s="329"/>
      <c r="AG9" s="329"/>
      <c r="AH9" s="329"/>
      <c r="AI9" s="329"/>
      <c r="AJ9" s="121"/>
    </row>
    <row r="10" spans="1:36" s="598" customFormat="1" ht="30">
      <c r="A10" s="882" t="s">
        <v>251</v>
      </c>
      <c r="B10" s="1357"/>
      <c r="C10" s="101" t="s">
        <v>250</v>
      </c>
      <c r="D10" s="203">
        <v>1240</v>
      </c>
      <c r="E10" s="203">
        <v>0</v>
      </c>
      <c r="F10" s="203">
        <v>108</v>
      </c>
      <c r="G10" s="1360"/>
      <c r="H10" s="203"/>
      <c r="I10" s="203"/>
      <c r="J10" s="689">
        <v>140</v>
      </c>
      <c r="K10" s="689">
        <v>1.61</v>
      </c>
      <c r="L10" s="203"/>
      <c r="M10" s="203"/>
      <c r="N10" s="203"/>
      <c r="O10" s="203"/>
      <c r="P10" s="203"/>
      <c r="Q10" s="101"/>
      <c r="R10" s="101"/>
      <c r="S10" s="101"/>
      <c r="T10" s="203">
        <v>60</v>
      </c>
      <c r="U10" s="203">
        <v>86</v>
      </c>
      <c r="V10" s="203" t="s">
        <v>575</v>
      </c>
      <c r="W10" s="865">
        <v>1.5</v>
      </c>
      <c r="X10" s="101"/>
      <c r="Y10" s="101"/>
      <c r="Z10" s="68">
        <v>20</v>
      </c>
      <c r="AA10" s="68">
        <v>0.6</v>
      </c>
      <c r="AB10" s="559">
        <v>100</v>
      </c>
      <c r="AC10" s="559">
        <v>0</v>
      </c>
      <c r="AD10" s="559">
        <v>0</v>
      </c>
      <c r="AE10" s="1363"/>
      <c r="AF10" s="68" t="s">
        <v>35</v>
      </c>
      <c r="AG10" s="145" t="s">
        <v>862</v>
      </c>
      <c r="AH10" s="68" t="s">
        <v>311</v>
      </c>
      <c r="AI10" s="68" t="s">
        <v>306</v>
      </c>
      <c r="AJ10" s="121" t="s">
        <v>335</v>
      </c>
    </row>
    <row r="11" spans="1:36" s="598" customFormat="1" ht="15.75">
      <c r="A11" s="883" t="s">
        <v>258</v>
      </c>
      <c r="B11" s="1357"/>
      <c r="C11" s="101" t="s">
        <v>252</v>
      </c>
      <c r="D11" s="203">
        <v>120</v>
      </c>
      <c r="E11" s="203">
        <v>0</v>
      </c>
      <c r="F11" s="203">
        <v>13</v>
      </c>
      <c r="G11" s="1360"/>
      <c r="H11" s="203"/>
      <c r="I11" s="203"/>
      <c r="J11" s="203"/>
      <c r="K11" s="203"/>
      <c r="L11" s="203"/>
      <c r="M11" s="203"/>
      <c r="N11" s="203"/>
      <c r="O11" s="203"/>
      <c r="P11" s="203"/>
      <c r="Q11" s="101"/>
      <c r="R11" s="101"/>
      <c r="S11" s="101"/>
      <c r="T11" s="203"/>
      <c r="U11" s="203"/>
      <c r="V11" s="203"/>
      <c r="W11" s="865">
        <v>1.8</v>
      </c>
      <c r="X11" s="101"/>
      <c r="Y11" s="101"/>
      <c r="Z11" s="101"/>
      <c r="AA11" s="101"/>
      <c r="AB11" s="559">
        <v>0</v>
      </c>
      <c r="AC11" s="559">
        <v>0</v>
      </c>
      <c r="AD11" s="559">
        <v>80</v>
      </c>
      <c r="AE11" s="1363"/>
      <c r="AF11" s="68"/>
      <c r="AG11" s="68"/>
      <c r="AH11" s="68"/>
      <c r="AI11" s="68"/>
      <c r="AJ11" s="121"/>
    </row>
    <row r="12" spans="1:36" s="598" customFormat="1" ht="15.75">
      <c r="A12" s="883" t="s">
        <v>259</v>
      </c>
      <c r="B12" s="1357"/>
      <c r="C12" s="101" t="s">
        <v>253</v>
      </c>
      <c r="D12" s="203"/>
      <c r="E12" s="203"/>
      <c r="F12" s="203">
        <v>108</v>
      </c>
      <c r="G12" s="1360"/>
      <c r="H12" s="203"/>
      <c r="I12" s="203"/>
      <c r="J12" s="203"/>
      <c r="K12" s="203"/>
      <c r="L12" s="203"/>
      <c r="M12" s="203"/>
      <c r="N12" s="203"/>
      <c r="O12" s="203"/>
      <c r="P12" s="203"/>
      <c r="Q12" s="101"/>
      <c r="R12" s="101"/>
      <c r="S12" s="101"/>
      <c r="T12" s="203">
        <v>20</v>
      </c>
      <c r="U12" s="203">
        <v>0</v>
      </c>
      <c r="V12" s="203" t="s">
        <v>575</v>
      </c>
      <c r="W12" s="865">
        <v>0.36</v>
      </c>
      <c r="X12" s="101"/>
      <c r="Y12" s="101"/>
      <c r="Z12" s="101"/>
      <c r="AA12" s="101"/>
      <c r="AB12" s="559">
        <v>9</v>
      </c>
      <c r="AC12" s="559">
        <v>0</v>
      </c>
      <c r="AD12" s="559">
        <v>0</v>
      </c>
      <c r="AE12" s="1363"/>
      <c r="AF12" s="68" t="s">
        <v>35</v>
      </c>
      <c r="AG12" s="145" t="s">
        <v>862</v>
      </c>
      <c r="AH12" s="68" t="s">
        <v>13</v>
      </c>
      <c r="AI12" s="68" t="s">
        <v>306</v>
      </c>
      <c r="AJ12" s="121" t="s">
        <v>335</v>
      </c>
    </row>
    <row r="13" spans="1:36" s="598" customFormat="1" ht="15.75">
      <c r="A13" s="883" t="s">
        <v>260</v>
      </c>
      <c r="B13" s="1357"/>
      <c r="C13" s="145" t="s">
        <v>254</v>
      </c>
      <c r="D13" s="203">
        <v>100</v>
      </c>
      <c r="E13" s="203">
        <v>0</v>
      </c>
      <c r="F13" s="203">
        <v>27</v>
      </c>
      <c r="G13" s="1361"/>
      <c r="H13" s="203"/>
      <c r="I13" s="203"/>
      <c r="J13" s="689">
        <v>20</v>
      </c>
      <c r="K13" s="689">
        <v>0.43</v>
      </c>
      <c r="L13" s="203"/>
      <c r="M13" s="203"/>
      <c r="N13" s="203"/>
      <c r="O13" s="203"/>
      <c r="P13" s="203"/>
      <c r="Q13" s="145"/>
      <c r="R13" s="145"/>
      <c r="S13" s="145"/>
      <c r="T13" s="866"/>
      <c r="U13" s="203"/>
      <c r="V13" s="203" t="s">
        <v>575</v>
      </c>
      <c r="W13" s="865">
        <v>0.36</v>
      </c>
      <c r="X13" s="145"/>
      <c r="Y13" s="145"/>
      <c r="Z13" s="145"/>
      <c r="AA13" s="145"/>
      <c r="AB13" s="559">
        <v>11</v>
      </c>
      <c r="AC13" s="559">
        <v>0</v>
      </c>
      <c r="AD13" s="559">
        <v>0</v>
      </c>
      <c r="AE13" s="1363"/>
      <c r="AF13" s="68"/>
      <c r="AG13" s="68"/>
      <c r="AH13" s="68"/>
      <c r="AI13" s="68"/>
      <c r="AJ13" s="121"/>
    </row>
    <row r="14" spans="1:36" s="598" customFormat="1" ht="15.75">
      <c r="A14" s="883" t="s">
        <v>261</v>
      </c>
      <c r="B14" s="1357"/>
      <c r="C14" s="145" t="s">
        <v>255</v>
      </c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68">
        <v>2</v>
      </c>
      <c r="Z14" s="68">
        <v>20</v>
      </c>
      <c r="AA14" s="68">
        <v>0.3</v>
      </c>
      <c r="AB14" s="559">
        <v>200</v>
      </c>
      <c r="AC14" s="559">
        <v>0</v>
      </c>
      <c r="AD14" s="559">
        <v>0</v>
      </c>
      <c r="AE14" s="1364"/>
      <c r="AF14" s="68"/>
      <c r="AG14" s="68"/>
      <c r="AH14" s="68"/>
      <c r="AI14" s="68"/>
      <c r="AJ14" s="121"/>
    </row>
    <row r="15" spans="1:36" s="598" customFormat="1" ht="30">
      <c r="A15" s="883" t="s">
        <v>262</v>
      </c>
      <c r="B15" s="1357"/>
      <c r="C15" s="145" t="s">
        <v>256</v>
      </c>
      <c r="D15" s="145"/>
      <c r="E15" s="145"/>
      <c r="F15" s="145"/>
      <c r="G15" s="145"/>
      <c r="H15" s="145"/>
      <c r="I15" s="145"/>
      <c r="J15" s="689">
        <v>300</v>
      </c>
      <c r="K15" s="689">
        <v>2.85</v>
      </c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68">
        <v>30</v>
      </c>
      <c r="AA15" s="68">
        <v>1</v>
      </c>
      <c r="AB15" s="68"/>
      <c r="AC15" s="68"/>
      <c r="AD15" s="68"/>
      <c r="AE15" s="68"/>
      <c r="AF15" s="68" t="s">
        <v>35</v>
      </c>
      <c r="AG15" s="145" t="s">
        <v>861</v>
      </c>
      <c r="AH15" s="68" t="s">
        <v>311</v>
      </c>
      <c r="AI15" s="68" t="s">
        <v>306</v>
      </c>
      <c r="AJ15" s="121" t="s">
        <v>335</v>
      </c>
    </row>
    <row r="16" spans="1:36" s="598" customFormat="1" ht="15.75">
      <c r="A16" s="883" t="s">
        <v>263</v>
      </c>
      <c r="B16" s="1358"/>
      <c r="C16" s="867" t="s">
        <v>1344</v>
      </c>
      <c r="D16" s="145"/>
      <c r="E16" s="145"/>
      <c r="F16" s="145"/>
      <c r="G16" s="145"/>
      <c r="H16" s="145"/>
      <c r="I16" s="145"/>
      <c r="J16" s="689">
        <v>120</v>
      </c>
      <c r="K16" s="689">
        <v>1.14</v>
      </c>
      <c r="L16" s="145"/>
      <c r="M16" s="145"/>
      <c r="N16" s="148"/>
      <c r="O16" s="148"/>
      <c r="P16" s="148"/>
      <c r="Q16" s="148"/>
      <c r="R16" s="148"/>
      <c r="S16" s="148"/>
      <c r="T16" s="145"/>
      <c r="U16" s="145"/>
      <c r="V16" s="145"/>
      <c r="W16" s="145"/>
      <c r="X16" s="145"/>
      <c r="Y16" s="145"/>
      <c r="Z16" s="68"/>
      <c r="AA16" s="68"/>
      <c r="AB16" s="68"/>
      <c r="AC16" s="68"/>
      <c r="AD16" s="68"/>
      <c r="AE16" s="68"/>
      <c r="AF16" s="68" t="s">
        <v>35</v>
      </c>
      <c r="AG16" s="145" t="s">
        <v>861</v>
      </c>
      <c r="AH16" s="68" t="s">
        <v>311</v>
      </c>
      <c r="AI16" s="68" t="s">
        <v>306</v>
      </c>
      <c r="AJ16" s="121" t="s">
        <v>575</v>
      </c>
    </row>
    <row r="17" spans="1:36" s="598" customFormat="1" ht="60">
      <c r="A17" s="882" t="s">
        <v>712</v>
      </c>
      <c r="B17" s="1353" t="s">
        <v>713</v>
      </c>
      <c r="C17" s="145" t="s">
        <v>714</v>
      </c>
      <c r="D17" s="145"/>
      <c r="E17" s="145"/>
      <c r="F17" s="145"/>
      <c r="G17" s="145"/>
      <c r="H17" s="145"/>
      <c r="I17" s="145"/>
      <c r="J17" s="689"/>
      <c r="K17" s="689"/>
      <c r="L17" s="145"/>
      <c r="M17" s="145"/>
      <c r="N17" s="1031">
        <v>16</v>
      </c>
      <c r="O17" s="1031">
        <v>15.23</v>
      </c>
      <c r="P17" s="148"/>
      <c r="Q17" s="148"/>
      <c r="R17" s="148"/>
      <c r="S17" s="148"/>
      <c r="T17" s="678"/>
      <c r="U17" s="678"/>
      <c r="V17" s="678"/>
      <c r="W17" s="678"/>
      <c r="X17" s="145"/>
      <c r="Y17" s="145"/>
      <c r="Z17" s="68">
        <v>50</v>
      </c>
      <c r="AA17" s="68">
        <v>0.5</v>
      </c>
      <c r="AB17" s="559">
        <v>30</v>
      </c>
      <c r="AC17" s="559">
        <v>0</v>
      </c>
      <c r="AD17" s="559">
        <v>100</v>
      </c>
      <c r="AE17" s="678">
        <v>2</v>
      </c>
      <c r="AF17" s="779" t="s">
        <v>35</v>
      </c>
      <c r="AG17" s="141" t="s">
        <v>719</v>
      </c>
      <c r="AH17" s="68" t="s">
        <v>311</v>
      </c>
      <c r="AI17" s="884" t="s">
        <v>306</v>
      </c>
      <c r="AJ17" s="885" t="s">
        <v>306</v>
      </c>
    </row>
    <row r="18" spans="1:36" s="598" customFormat="1" ht="60">
      <c r="A18" s="882" t="s">
        <v>715</v>
      </c>
      <c r="B18" s="1354"/>
      <c r="C18" s="145" t="s">
        <v>716</v>
      </c>
      <c r="D18" s="145">
        <v>600</v>
      </c>
      <c r="E18" s="145">
        <v>0</v>
      </c>
      <c r="F18" s="145" t="s">
        <v>575</v>
      </c>
      <c r="G18" s="30">
        <v>1</v>
      </c>
      <c r="H18" s="145"/>
      <c r="I18" s="145"/>
      <c r="J18" s="145"/>
      <c r="K18" s="145"/>
      <c r="L18" s="145"/>
      <c r="M18" s="145"/>
      <c r="N18" s="1032"/>
      <c r="O18" s="1032"/>
      <c r="P18" s="149"/>
      <c r="Q18" s="149"/>
      <c r="R18" s="149"/>
      <c r="S18" s="149"/>
      <c r="T18" s="678"/>
      <c r="U18" s="678"/>
      <c r="V18" s="678"/>
      <c r="W18" s="678"/>
      <c r="X18" s="145"/>
      <c r="Y18" s="145"/>
      <c r="Z18" s="145">
        <v>100</v>
      </c>
      <c r="AA18" s="145">
        <v>1</v>
      </c>
      <c r="AB18" s="145"/>
      <c r="AC18" s="145"/>
      <c r="AD18" s="145"/>
      <c r="AE18" s="145"/>
      <c r="AF18" s="779" t="s">
        <v>37</v>
      </c>
      <c r="AG18" s="141" t="s">
        <v>719</v>
      </c>
      <c r="AH18" s="68" t="s">
        <v>311</v>
      </c>
      <c r="AI18" s="884" t="s">
        <v>306</v>
      </c>
      <c r="AJ18" s="885" t="s">
        <v>306</v>
      </c>
    </row>
    <row r="19" spans="1:36" s="868" customFormat="1" ht="15.75">
      <c r="A19" s="882" t="s">
        <v>964</v>
      </c>
      <c r="B19" s="1354"/>
      <c r="C19" s="145" t="s">
        <v>965</v>
      </c>
      <c r="D19" s="886"/>
      <c r="E19" s="886"/>
      <c r="F19" s="886"/>
      <c r="G19" s="886">
        <v>15</v>
      </c>
      <c r="H19" s="886"/>
      <c r="I19" s="886"/>
      <c r="J19" s="886"/>
      <c r="K19" s="886"/>
      <c r="L19" s="886"/>
      <c r="M19" s="886"/>
      <c r="N19" s="1032"/>
      <c r="O19" s="1032"/>
      <c r="P19" s="149"/>
      <c r="Q19" s="149"/>
      <c r="R19" s="149"/>
      <c r="S19" s="149"/>
      <c r="T19" s="678"/>
      <c r="U19" s="678"/>
      <c r="V19" s="678"/>
      <c r="W19" s="678">
        <v>3</v>
      </c>
      <c r="X19" s="886"/>
      <c r="Y19" s="886"/>
      <c r="Z19" s="886"/>
      <c r="AA19" s="886"/>
      <c r="AB19" s="886"/>
      <c r="AC19" s="886"/>
      <c r="AD19" s="886"/>
      <c r="AE19" s="886"/>
      <c r="AF19" s="845" t="s">
        <v>575</v>
      </c>
      <c r="AG19" s="845" t="s">
        <v>575</v>
      </c>
      <c r="AH19" s="68" t="s">
        <v>311</v>
      </c>
      <c r="AI19" s="845" t="s">
        <v>575</v>
      </c>
      <c r="AJ19" s="846" t="s">
        <v>575</v>
      </c>
    </row>
    <row r="20" spans="1:36" s="598" customFormat="1" ht="75">
      <c r="A20" s="882" t="s">
        <v>717</v>
      </c>
      <c r="B20" s="1354"/>
      <c r="C20" s="145" t="s">
        <v>718</v>
      </c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033"/>
      <c r="O20" s="1033"/>
      <c r="P20" s="150"/>
      <c r="Q20" s="150"/>
      <c r="R20" s="150"/>
      <c r="S20" s="150"/>
      <c r="T20" s="678"/>
      <c r="U20" s="678"/>
      <c r="V20" s="678"/>
      <c r="W20" s="678"/>
      <c r="X20" s="145"/>
      <c r="Y20" s="145"/>
      <c r="Z20" s="145"/>
      <c r="AA20" s="145"/>
      <c r="AB20" s="145"/>
      <c r="AC20" s="145"/>
      <c r="AD20" s="145"/>
      <c r="AE20" s="145"/>
      <c r="AF20" s="779" t="s">
        <v>35</v>
      </c>
      <c r="AG20" s="141" t="s">
        <v>719</v>
      </c>
      <c r="AH20" s="68" t="s">
        <v>311</v>
      </c>
      <c r="AI20" s="884" t="s">
        <v>306</v>
      </c>
      <c r="AJ20" s="885" t="s">
        <v>306</v>
      </c>
    </row>
    <row r="21" spans="1:36" s="598" customFormat="1" ht="30">
      <c r="A21" s="602" t="s">
        <v>1345</v>
      </c>
      <c r="B21" s="204" t="s">
        <v>1346</v>
      </c>
      <c r="C21" s="145"/>
      <c r="D21" s="145">
        <v>1200</v>
      </c>
      <c r="E21" s="68">
        <v>0</v>
      </c>
      <c r="F21" s="68">
        <v>1200</v>
      </c>
      <c r="G21" s="145">
        <v>600</v>
      </c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678">
        <v>89</v>
      </c>
      <c r="X21" s="145"/>
      <c r="Y21" s="145"/>
      <c r="Z21" s="145"/>
      <c r="AA21" s="145"/>
      <c r="AB21" s="12"/>
      <c r="AC21" s="12"/>
      <c r="AD21" s="12"/>
      <c r="AE21" s="12"/>
      <c r="AF21" s="24"/>
      <c r="AG21" s="21"/>
      <c r="AH21" s="24"/>
      <c r="AI21" s="24"/>
      <c r="AJ21" s="869"/>
    </row>
    <row r="22" spans="1:36" s="598" customFormat="1" ht="45" customHeight="1">
      <c r="A22" s="870" t="s">
        <v>722</v>
      </c>
      <c r="B22" s="1370" t="s">
        <v>723</v>
      </c>
      <c r="C22" s="145" t="s">
        <v>1347</v>
      </c>
      <c r="D22" s="145">
        <v>249</v>
      </c>
      <c r="E22" s="68">
        <v>0</v>
      </c>
      <c r="F22" s="145">
        <v>249</v>
      </c>
      <c r="G22" s="145">
        <v>21.43</v>
      </c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>
        <v>31</v>
      </c>
      <c r="V22" s="145"/>
      <c r="W22" s="145">
        <v>9.4</v>
      </c>
      <c r="X22" s="68">
        <v>3</v>
      </c>
      <c r="Y22" s="68">
        <v>3</v>
      </c>
      <c r="Z22" s="68">
        <v>90</v>
      </c>
      <c r="AA22" s="68">
        <v>1.26</v>
      </c>
      <c r="AB22" s="871">
        <v>90</v>
      </c>
      <c r="AC22" s="871">
        <v>0</v>
      </c>
      <c r="AD22" s="871">
        <v>90</v>
      </c>
      <c r="AE22" s="1371">
        <v>4.02</v>
      </c>
      <c r="AF22" s="145" t="s">
        <v>35</v>
      </c>
      <c r="AG22" s="145" t="s">
        <v>719</v>
      </c>
      <c r="AH22" s="145" t="s">
        <v>311</v>
      </c>
      <c r="AI22" s="145" t="s">
        <v>306</v>
      </c>
      <c r="AJ22" s="116" t="s">
        <v>306</v>
      </c>
    </row>
    <row r="23" spans="1:36" s="598" customFormat="1" ht="15.75">
      <c r="A23" s="870" t="s">
        <v>725</v>
      </c>
      <c r="B23" s="1370"/>
      <c r="C23" s="145" t="s">
        <v>726</v>
      </c>
      <c r="D23" s="145"/>
      <c r="E23" s="145"/>
      <c r="F23" s="145"/>
      <c r="G23" s="145"/>
      <c r="H23" s="145"/>
      <c r="I23" s="145"/>
      <c r="J23" s="689">
        <v>60</v>
      </c>
      <c r="K23" s="689">
        <v>1.42</v>
      </c>
      <c r="L23" s="145">
        <v>96</v>
      </c>
      <c r="M23" s="145">
        <v>0</v>
      </c>
      <c r="N23" s="145">
        <v>27</v>
      </c>
      <c r="O23" s="145">
        <v>3.94</v>
      </c>
      <c r="P23" s="145"/>
      <c r="Q23" s="145"/>
      <c r="R23" s="145"/>
      <c r="S23" s="145"/>
      <c r="T23" s="145"/>
      <c r="U23" s="145"/>
      <c r="V23" s="145"/>
      <c r="W23" s="145"/>
      <c r="X23" s="68">
        <v>1</v>
      </c>
      <c r="Y23" s="68">
        <v>8</v>
      </c>
      <c r="Z23" s="68">
        <v>120</v>
      </c>
      <c r="AA23" s="68">
        <v>0.92</v>
      </c>
      <c r="AB23" s="871"/>
      <c r="AC23" s="871"/>
      <c r="AD23" s="871"/>
      <c r="AE23" s="1372"/>
      <c r="AF23" s="145" t="s">
        <v>35</v>
      </c>
      <c r="AG23" s="145" t="s">
        <v>719</v>
      </c>
      <c r="AH23" s="145"/>
      <c r="AI23" s="145" t="s">
        <v>306</v>
      </c>
      <c r="AJ23" s="116" t="s">
        <v>306</v>
      </c>
    </row>
    <row r="24" spans="1:36" s="598" customFormat="1" ht="45">
      <c r="A24" s="872">
        <v>2.4</v>
      </c>
      <c r="B24" s="1370"/>
      <c r="C24" s="145" t="s">
        <v>1348</v>
      </c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68"/>
      <c r="Y24" s="68"/>
      <c r="Z24" s="68"/>
      <c r="AA24" s="68"/>
      <c r="AB24" s="871"/>
      <c r="AC24" s="871"/>
      <c r="AD24" s="871"/>
      <c r="AE24" s="1372"/>
      <c r="AF24" s="817" t="s">
        <v>35</v>
      </c>
      <c r="AG24" s="817">
        <v>150</v>
      </c>
      <c r="AH24" s="817"/>
      <c r="AI24" s="145"/>
      <c r="AJ24" s="116"/>
    </row>
    <row r="25" spans="1:36" s="598" customFormat="1" ht="15.75">
      <c r="A25" s="870" t="s">
        <v>820</v>
      </c>
      <c r="B25" s="1370"/>
      <c r="C25" s="145" t="s">
        <v>822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68">
        <v>1</v>
      </c>
      <c r="Y25" s="68">
        <v>0</v>
      </c>
      <c r="Z25" s="68">
        <v>300</v>
      </c>
      <c r="AA25" s="68">
        <v>3.07</v>
      </c>
      <c r="AB25" s="871">
        <v>120</v>
      </c>
      <c r="AC25" s="871">
        <v>180</v>
      </c>
      <c r="AD25" s="871">
        <v>120</v>
      </c>
      <c r="AE25" s="1372"/>
      <c r="AF25" s="145"/>
      <c r="AG25" s="145"/>
      <c r="AH25" s="145"/>
      <c r="AI25" s="145"/>
      <c r="AJ25" s="116"/>
    </row>
    <row r="26" spans="1:36" s="598" customFormat="1" ht="30">
      <c r="A26" s="870" t="s">
        <v>727</v>
      </c>
      <c r="B26" s="1370"/>
      <c r="C26" s="145" t="s">
        <v>728</v>
      </c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871"/>
      <c r="AC26" s="871"/>
      <c r="AD26" s="871"/>
      <c r="AE26" s="1372"/>
      <c r="AF26" s="145" t="s">
        <v>35</v>
      </c>
      <c r="AG26" s="145" t="s">
        <v>719</v>
      </c>
      <c r="AH26" s="145"/>
      <c r="AI26" s="145" t="s">
        <v>306</v>
      </c>
      <c r="AJ26" s="116" t="s">
        <v>306</v>
      </c>
    </row>
    <row r="27" spans="1:36" s="598" customFormat="1" ht="30">
      <c r="A27" s="870" t="s">
        <v>729</v>
      </c>
      <c r="B27" s="1370"/>
      <c r="C27" s="145" t="s">
        <v>730</v>
      </c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871">
        <v>60</v>
      </c>
      <c r="AC27" s="871">
        <v>0</v>
      </c>
      <c r="AD27" s="871">
        <v>60</v>
      </c>
      <c r="AE27" s="1372"/>
      <c r="AF27" s="145" t="s">
        <v>35</v>
      </c>
      <c r="AG27" s="145" t="s">
        <v>719</v>
      </c>
      <c r="AH27" s="145"/>
      <c r="AI27" s="145" t="s">
        <v>306</v>
      </c>
      <c r="AJ27" s="116" t="s">
        <v>306</v>
      </c>
    </row>
    <row r="28" spans="1:36" s="598" customFormat="1" ht="30">
      <c r="A28" s="870" t="s">
        <v>731</v>
      </c>
      <c r="B28" s="1370"/>
      <c r="C28" s="145" t="s">
        <v>732</v>
      </c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871">
        <v>16</v>
      </c>
      <c r="AC28" s="871">
        <v>0</v>
      </c>
      <c r="AD28" s="871">
        <v>16</v>
      </c>
      <c r="AE28" s="1373"/>
      <c r="AF28" s="145" t="s">
        <v>35</v>
      </c>
      <c r="AG28" s="145" t="s">
        <v>719</v>
      </c>
      <c r="AH28" s="145"/>
      <c r="AI28" s="145" t="s">
        <v>306</v>
      </c>
      <c r="AJ28" s="116" t="s">
        <v>306</v>
      </c>
    </row>
    <row r="29" spans="1:36" s="598" customFormat="1" ht="15.75" customHeight="1">
      <c r="A29" s="1353" t="s">
        <v>587</v>
      </c>
      <c r="B29" s="1374" t="s">
        <v>588</v>
      </c>
      <c r="C29" s="145" t="s">
        <v>563</v>
      </c>
      <c r="D29" s="145"/>
      <c r="E29" s="145"/>
      <c r="F29" s="145"/>
      <c r="G29" s="1031">
        <v>10</v>
      </c>
      <c r="H29" s="145"/>
      <c r="I29" s="145"/>
      <c r="J29" s="145"/>
      <c r="K29" s="145"/>
      <c r="L29" s="145"/>
      <c r="M29" s="145"/>
      <c r="N29" s="1377">
        <v>90</v>
      </c>
      <c r="O29" s="1380">
        <v>21.13</v>
      </c>
      <c r="P29" s="91"/>
      <c r="Q29" s="91"/>
      <c r="R29" s="91"/>
      <c r="S29" s="91"/>
      <c r="T29" s="873"/>
      <c r="U29" s="873"/>
      <c r="V29" s="873" t="s">
        <v>575</v>
      </c>
      <c r="W29" s="1345">
        <v>6</v>
      </c>
      <c r="X29" s="145"/>
      <c r="Y29" s="145"/>
      <c r="Z29" s="145"/>
      <c r="AA29" s="145"/>
      <c r="AB29" s="1348">
        <v>473</v>
      </c>
      <c r="AC29" s="1348">
        <v>0</v>
      </c>
      <c r="AD29" s="1348">
        <v>608</v>
      </c>
      <c r="AE29" s="1365">
        <v>9.615</v>
      </c>
      <c r="AF29" s="145" t="s">
        <v>71</v>
      </c>
      <c r="AG29" s="145" t="s">
        <v>1349</v>
      </c>
      <c r="AH29" s="145" t="s">
        <v>1350</v>
      </c>
      <c r="AI29" s="145" t="s">
        <v>306</v>
      </c>
      <c r="AJ29" s="116" t="s">
        <v>306</v>
      </c>
    </row>
    <row r="30" spans="1:36" s="598" customFormat="1" ht="45">
      <c r="A30" s="1354"/>
      <c r="B30" s="1375"/>
      <c r="C30" s="145" t="s">
        <v>721</v>
      </c>
      <c r="D30" s="874"/>
      <c r="E30" s="68"/>
      <c r="F30" s="875"/>
      <c r="G30" s="1032"/>
      <c r="H30" s="91"/>
      <c r="I30" s="91"/>
      <c r="J30" s="91"/>
      <c r="K30" s="91"/>
      <c r="L30" s="91"/>
      <c r="M30" s="91"/>
      <c r="N30" s="1378"/>
      <c r="O30" s="1381"/>
      <c r="P30" s="91"/>
      <c r="Q30" s="91"/>
      <c r="R30" s="91"/>
      <c r="S30" s="91"/>
      <c r="T30" s="873"/>
      <c r="U30" s="873"/>
      <c r="V30" s="873"/>
      <c r="W30" s="1346"/>
      <c r="X30" s="145">
        <v>41</v>
      </c>
      <c r="Y30" s="145">
        <v>50</v>
      </c>
      <c r="Z30" s="145">
        <v>80</v>
      </c>
      <c r="AA30" s="145">
        <v>0.6</v>
      </c>
      <c r="AB30" s="1349"/>
      <c r="AC30" s="1349"/>
      <c r="AD30" s="1349"/>
      <c r="AE30" s="1366"/>
      <c r="AF30" s="145" t="s">
        <v>589</v>
      </c>
      <c r="AG30" s="145" t="s">
        <v>861</v>
      </c>
      <c r="AH30" s="145" t="s">
        <v>1350</v>
      </c>
      <c r="AI30" s="145" t="s">
        <v>306</v>
      </c>
      <c r="AJ30" s="116" t="s">
        <v>306</v>
      </c>
    </row>
    <row r="31" spans="1:36" s="598" customFormat="1" ht="30">
      <c r="A31" s="1354"/>
      <c r="B31" s="1375"/>
      <c r="C31" s="145" t="s">
        <v>1351</v>
      </c>
      <c r="D31" s="91"/>
      <c r="E31" s="91"/>
      <c r="F31" s="91"/>
      <c r="G31" s="1032"/>
      <c r="H31" s="91"/>
      <c r="I31" s="91"/>
      <c r="J31" s="91"/>
      <c r="K31" s="91"/>
      <c r="L31" s="91"/>
      <c r="M31" s="91"/>
      <c r="N31" s="1378"/>
      <c r="O31" s="1381"/>
      <c r="P31" s="91"/>
      <c r="Q31" s="91"/>
      <c r="R31" s="91"/>
      <c r="S31" s="91"/>
      <c r="T31" s="873"/>
      <c r="U31" s="873"/>
      <c r="V31" s="873"/>
      <c r="W31" s="1346"/>
      <c r="X31" s="145"/>
      <c r="Y31" s="145"/>
      <c r="Z31" s="145">
        <v>640</v>
      </c>
      <c r="AA31" s="145">
        <v>0.5</v>
      </c>
      <c r="AB31" s="1349"/>
      <c r="AC31" s="1349"/>
      <c r="AD31" s="1349"/>
      <c r="AE31" s="1366"/>
      <c r="AF31" s="145" t="s">
        <v>685</v>
      </c>
      <c r="AG31" s="145"/>
      <c r="AH31" s="145" t="s">
        <v>1350</v>
      </c>
      <c r="AI31" s="145" t="s">
        <v>555</v>
      </c>
      <c r="AJ31" s="116" t="s">
        <v>1352</v>
      </c>
    </row>
    <row r="32" spans="1:36" s="598" customFormat="1" ht="15.75">
      <c r="A32" s="1354"/>
      <c r="B32" s="1375"/>
      <c r="C32" s="145" t="s">
        <v>1353</v>
      </c>
      <c r="D32" s="91"/>
      <c r="E32" s="91"/>
      <c r="F32" s="91"/>
      <c r="G32" s="1032"/>
      <c r="H32" s="91"/>
      <c r="I32" s="91"/>
      <c r="J32" s="91"/>
      <c r="K32" s="91"/>
      <c r="L32" s="91"/>
      <c r="M32" s="91"/>
      <c r="N32" s="1378"/>
      <c r="O32" s="1381"/>
      <c r="P32" s="91"/>
      <c r="Q32" s="91"/>
      <c r="R32" s="91"/>
      <c r="S32" s="91"/>
      <c r="T32" s="873"/>
      <c r="U32" s="873"/>
      <c r="V32" s="873"/>
      <c r="W32" s="1346"/>
      <c r="X32" s="145"/>
      <c r="Y32" s="145"/>
      <c r="Z32" s="145">
        <v>80</v>
      </c>
      <c r="AA32" s="145">
        <v>0.6</v>
      </c>
      <c r="AB32" s="1349"/>
      <c r="AC32" s="1349"/>
      <c r="AD32" s="1349"/>
      <c r="AE32" s="1366"/>
      <c r="AF32" s="145" t="s">
        <v>71</v>
      </c>
      <c r="AG32" s="145" t="s">
        <v>49</v>
      </c>
      <c r="AH32" s="145" t="s">
        <v>1350</v>
      </c>
      <c r="AI32" s="145" t="s">
        <v>555</v>
      </c>
      <c r="AJ32" s="116" t="s">
        <v>1352</v>
      </c>
    </row>
    <row r="33" spans="1:36" s="598" customFormat="1" ht="15.75">
      <c r="A33" s="1354"/>
      <c r="B33" s="1375"/>
      <c r="C33" s="145" t="s">
        <v>1354</v>
      </c>
      <c r="D33" s="91"/>
      <c r="E33" s="91"/>
      <c r="F33" s="91"/>
      <c r="G33" s="1032"/>
      <c r="H33" s="91"/>
      <c r="I33" s="91"/>
      <c r="J33" s="91"/>
      <c r="K33" s="91"/>
      <c r="L33" s="91"/>
      <c r="M33" s="91"/>
      <c r="N33" s="1378"/>
      <c r="O33" s="1381"/>
      <c r="P33" s="91"/>
      <c r="Q33" s="91"/>
      <c r="R33" s="91"/>
      <c r="S33" s="91"/>
      <c r="T33" s="873"/>
      <c r="U33" s="873"/>
      <c r="V33" s="873"/>
      <c r="W33" s="1346"/>
      <c r="X33" s="145"/>
      <c r="Y33" s="145"/>
      <c r="Z33" s="145">
        <v>10</v>
      </c>
      <c r="AA33" s="145">
        <v>0.65</v>
      </c>
      <c r="AB33" s="1349"/>
      <c r="AC33" s="1349"/>
      <c r="AD33" s="1349"/>
      <c r="AE33" s="1366"/>
      <c r="AF33" s="145" t="s">
        <v>677</v>
      </c>
      <c r="AG33" s="145">
        <v>10</v>
      </c>
      <c r="AH33" s="145" t="s">
        <v>1350</v>
      </c>
      <c r="AI33" s="145" t="s">
        <v>555</v>
      </c>
      <c r="AJ33" s="116" t="s">
        <v>1352</v>
      </c>
    </row>
    <row r="34" spans="1:36" s="598" customFormat="1" ht="15.75">
      <c r="A34" s="1354"/>
      <c r="B34" s="1375"/>
      <c r="C34" s="145" t="s">
        <v>1355</v>
      </c>
      <c r="D34" s="91"/>
      <c r="E34" s="91"/>
      <c r="F34" s="91"/>
      <c r="G34" s="1032"/>
      <c r="H34" s="91"/>
      <c r="I34" s="91"/>
      <c r="J34" s="91"/>
      <c r="K34" s="91"/>
      <c r="L34" s="91"/>
      <c r="M34" s="91"/>
      <c r="N34" s="1378"/>
      <c r="O34" s="1381"/>
      <c r="P34" s="91"/>
      <c r="Q34" s="91"/>
      <c r="R34" s="91"/>
      <c r="S34" s="91"/>
      <c r="T34" s="873"/>
      <c r="U34" s="873"/>
      <c r="V34" s="873"/>
      <c r="W34" s="1346"/>
      <c r="X34" s="145"/>
      <c r="Y34" s="145"/>
      <c r="Z34" s="145">
        <v>5</v>
      </c>
      <c r="AA34" s="145">
        <v>0.8</v>
      </c>
      <c r="AB34" s="1349"/>
      <c r="AC34" s="1349"/>
      <c r="AD34" s="1349"/>
      <c r="AE34" s="1366"/>
      <c r="AF34" s="145" t="s">
        <v>685</v>
      </c>
      <c r="AG34" s="145">
        <v>5</v>
      </c>
      <c r="AH34" s="145" t="s">
        <v>1350</v>
      </c>
      <c r="AI34" s="145" t="s">
        <v>555</v>
      </c>
      <c r="AJ34" s="116" t="s">
        <v>1352</v>
      </c>
    </row>
    <row r="35" spans="1:36" s="598" customFormat="1" ht="15.75">
      <c r="A35" s="1355"/>
      <c r="B35" s="1376"/>
      <c r="C35" s="145" t="s">
        <v>1356</v>
      </c>
      <c r="D35" s="91"/>
      <c r="E35" s="91"/>
      <c r="F35" s="91"/>
      <c r="G35" s="1033"/>
      <c r="H35" s="91"/>
      <c r="I35" s="91"/>
      <c r="J35" s="91"/>
      <c r="K35" s="91"/>
      <c r="L35" s="91"/>
      <c r="M35" s="91"/>
      <c r="N35" s="1379"/>
      <c r="O35" s="1382"/>
      <c r="P35" s="91"/>
      <c r="Q35" s="91"/>
      <c r="R35" s="91"/>
      <c r="S35" s="91"/>
      <c r="T35" s="873"/>
      <c r="U35" s="873"/>
      <c r="V35" s="873"/>
      <c r="W35" s="1347"/>
      <c r="X35" s="145"/>
      <c r="Y35" s="145"/>
      <c r="Z35" s="145" t="s">
        <v>610</v>
      </c>
      <c r="AA35" s="145">
        <v>152000</v>
      </c>
      <c r="AB35" s="1350"/>
      <c r="AC35" s="1350"/>
      <c r="AD35" s="1350"/>
      <c r="AE35" s="1367"/>
      <c r="AF35" s="145" t="s">
        <v>71</v>
      </c>
      <c r="AG35" s="145" t="s">
        <v>1357</v>
      </c>
      <c r="AH35" s="145" t="s">
        <v>1358</v>
      </c>
      <c r="AI35" s="145" t="s">
        <v>555</v>
      </c>
      <c r="AJ35" s="116" t="s">
        <v>1352</v>
      </c>
    </row>
    <row r="36" spans="1:36" s="598" customFormat="1" ht="15.75">
      <c r="A36" s="294" t="s">
        <v>598</v>
      </c>
      <c r="B36" s="150" t="s">
        <v>189</v>
      </c>
      <c r="C36" s="145" t="s">
        <v>599</v>
      </c>
      <c r="D36" s="874"/>
      <c r="E36" s="68"/>
      <c r="F36" s="68">
        <v>40</v>
      </c>
      <c r="G36" s="145">
        <v>2</v>
      </c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>
        <v>26</v>
      </c>
      <c r="AA36" s="145">
        <v>0.9</v>
      </c>
      <c r="AB36" s="747">
        <v>0</v>
      </c>
      <c r="AC36" s="747">
        <v>0</v>
      </c>
      <c r="AD36" s="747">
        <v>120</v>
      </c>
      <c r="AE36" s="747">
        <v>2</v>
      </c>
      <c r="AF36" s="145" t="s">
        <v>35</v>
      </c>
      <c r="AG36" s="41" t="s">
        <v>1359</v>
      </c>
      <c r="AH36" s="145" t="s">
        <v>578</v>
      </c>
      <c r="AI36" s="145" t="s">
        <v>306</v>
      </c>
      <c r="AJ36" s="116" t="s">
        <v>306</v>
      </c>
    </row>
    <row r="37" spans="1:36" s="598" customFormat="1" ht="15.75">
      <c r="A37" s="409" t="s">
        <v>600</v>
      </c>
      <c r="B37" s="148" t="s">
        <v>601</v>
      </c>
      <c r="C37" s="145" t="s">
        <v>1283</v>
      </c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203"/>
      <c r="U37" s="203">
        <v>26</v>
      </c>
      <c r="V37" s="203" t="s">
        <v>575</v>
      </c>
      <c r="W37" s="203">
        <v>2</v>
      </c>
      <c r="X37" s="145"/>
      <c r="Y37" s="145"/>
      <c r="Z37" s="145">
        <v>1683</v>
      </c>
      <c r="AA37" s="145">
        <v>15.9</v>
      </c>
      <c r="AB37" s="145"/>
      <c r="AC37" s="145"/>
      <c r="AD37" s="145"/>
      <c r="AE37" s="145"/>
      <c r="AF37" s="145" t="s">
        <v>575</v>
      </c>
      <c r="AG37" s="145" t="s">
        <v>575</v>
      </c>
      <c r="AH37" s="145" t="s">
        <v>575</v>
      </c>
      <c r="AI37" s="145" t="s">
        <v>575</v>
      </c>
      <c r="AJ37" s="116" t="s">
        <v>575</v>
      </c>
    </row>
    <row r="38" spans="1:36" s="598" customFormat="1" ht="30">
      <c r="A38" s="882" t="s">
        <v>660</v>
      </c>
      <c r="B38" s="145" t="s">
        <v>661</v>
      </c>
      <c r="C38" s="145" t="s">
        <v>1301</v>
      </c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>
        <v>55</v>
      </c>
      <c r="X38" s="145"/>
      <c r="Y38" s="145"/>
      <c r="Z38" s="145"/>
      <c r="AA38" s="145"/>
      <c r="AB38" s="145"/>
      <c r="AC38" s="145"/>
      <c r="AD38" s="747">
        <v>150</v>
      </c>
      <c r="AE38" s="747">
        <v>15</v>
      </c>
      <c r="AF38" s="145" t="s">
        <v>15</v>
      </c>
      <c r="AG38" s="145">
        <v>25</v>
      </c>
      <c r="AH38" s="145" t="s">
        <v>663</v>
      </c>
      <c r="AI38" s="145" t="s">
        <v>306</v>
      </c>
      <c r="AJ38" s="116" t="s">
        <v>64</v>
      </c>
    </row>
    <row r="39" spans="1:36" s="598" customFormat="1" ht="25.5" customHeight="1">
      <c r="A39" s="882" t="s">
        <v>833</v>
      </c>
      <c r="B39" s="145" t="s">
        <v>834</v>
      </c>
      <c r="C39" s="145" t="s">
        <v>835</v>
      </c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>
        <v>200</v>
      </c>
      <c r="AA39" s="145">
        <v>2</v>
      </c>
      <c r="AB39" s="145"/>
      <c r="AC39" s="145"/>
      <c r="AD39" s="145"/>
      <c r="AE39" s="145"/>
      <c r="AF39" s="145" t="s">
        <v>37</v>
      </c>
      <c r="AG39" s="145">
        <v>25</v>
      </c>
      <c r="AH39" s="145" t="s">
        <v>1360</v>
      </c>
      <c r="AI39" s="145" t="s">
        <v>555</v>
      </c>
      <c r="AJ39" s="116" t="s">
        <v>1361</v>
      </c>
    </row>
    <row r="40" spans="1:36" s="598" customFormat="1" ht="30">
      <c r="A40" s="882" t="s">
        <v>836</v>
      </c>
      <c r="B40" s="145" t="s">
        <v>837</v>
      </c>
      <c r="C40" s="145" t="s">
        <v>838</v>
      </c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>
        <v>280</v>
      </c>
      <c r="AA40" s="145">
        <v>2</v>
      </c>
      <c r="AB40" s="145"/>
      <c r="AC40" s="145"/>
      <c r="AD40" s="145"/>
      <c r="AE40" s="145"/>
      <c r="AF40" s="145" t="s">
        <v>37</v>
      </c>
      <c r="AG40" s="145">
        <v>35</v>
      </c>
      <c r="AH40" s="145" t="s">
        <v>1360</v>
      </c>
      <c r="AI40" s="145" t="s">
        <v>1362</v>
      </c>
      <c r="AJ40" s="116" t="s">
        <v>1363</v>
      </c>
    </row>
    <row r="41" spans="1:36" s="598" customFormat="1" ht="30">
      <c r="A41" s="882" t="s">
        <v>839</v>
      </c>
      <c r="B41" s="145" t="s">
        <v>840</v>
      </c>
      <c r="C41" s="145" t="s">
        <v>841</v>
      </c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>
        <v>320</v>
      </c>
      <c r="AA41" s="145">
        <v>2</v>
      </c>
      <c r="AB41" s="145"/>
      <c r="AC41" s="145"/>
      <c r="AD41" s="145"/>
      <c r="AE41" s="145"/>
      <c r="AF41" s="145" t="s">
        <v>37</v>
      </c>
      <c r="AG41" s="145">
        <v>40</v>
      </c>
      <c r="AH41" s="145" t="s">
        <v>1360</v>
      </c>
      <c r="AI41" s="145" t="s">
        <v>1362</v>
      </c>
      <c r="AJ41" s="116" t="s">
        <v>1364</v>
      </c>
    </row>
    <row r="42" spans="1:36" s="598" customFormat="1" ht="120">
      <c r="A42" s="882" t="s">
        <v>842</v>
      </c>
      <c r="B42" s="145" t="s">
        <v>843</v>
      </c>
      <c r="C42" s="145" t="s">
        <v>844</v>
      </c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>
        <v>640</v>
      </c>
      <c r="AA42" s="145">
        <v>5</v>
      </c>
      <c r="AB42" s="145"/>
      <c r="AC42" s="145"/>
      <c r="AD42" s="145"/>
      <c r="AE42" s="145"/>
      <c r="AF42" s="145" t="s">
        <v>9</v>
      </c>
      <c r="AG42" s="145">
        <v>40</v>
      </c>
      <c r="AH42" s="145" t="s">
        <v>1360</v>
      </c>
      <c r="AI42" s="145" t="s">
        <v>555</v>
      </c>
      <c r="AJ42" s="116" t="s">
        <v>1365</v>
      </c>
    </row>
    <row r="43" spans="1:36" s="598" customFormat="1" ht="45">
      <c r="A43" s="882" t="s">
        <v>735</v>
      </c>
      <c r="B43" s="145"/>
      <c r="C43" s="145" t="s">
        <v>736</v>
      </c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 t="s">
        <v>15</v>
      </c>
      <c r="AG43" s="145"/>
      <c r="AH43" s="145" t="s">
        <v>1360</v>
      </c>
      <c r="AI43" s="145" t="s">
        <v>306</v>
      </c>
      <c r="AJ43" s="116" t="s">
        <v>64</v>
      </c>
    </row>
    <row r="44" spans="1:36" s="598" customFormat="1" ht="30">
      <c r="A44" s="882" t="s">
        <v>852</v>
      </c>
      <c r="B44" s="145" t="s">
        <v>853</v>
      </c>
      <c r="C44" s="145" t="s">
        <v>1356</v>
      </c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747">
        <v>90</v>
      </c>
      <c r="AE44" s="747">
        <v>3</v>
      </c>
      <c r="AF44" s="145"/>
      <c r="AG44" s="145"/>
      <c r="AH44" s="145" t="s">
        <v>1360</v>
      </c>
      <c r="AI44" s="145"/>
      <c r="AJ44" s="116"/>
    </row>
    <row r="45" spans="1:36" s="598" customFormat="1" ht="30">
      <c r="A45" s="882" t="s">
        <v>1337</v>
      </c>
      <c r="B45" s="145" t="s">
        <v>1338</v>
      </c>
      <c r="C45" s="145" t="s">
        <v>1339</v>
      </c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>
        <v>610</v>
      </c>
      <c r="AA45" s="145">
        <v>11.1</v>
      </c>
      <c r="AB45" s="145"/>
      <c r="AC45" s="145"/>
      <c r="AD45" s="145"/>
      <c r="AE45" s="145"/>
      <c r="AF45" s="145"/>
      <c r="AG45" s="145"/>
      <c r="AH45" s="145" t="s">
        <v>1360</v>
      </c>
      <c r="AI45" s="145"/>
      <c r="AJ45" s="116"/>
    </row>
    <row r="46" spans="1:36" s="598" customFormat="1" ht="30.75">
      <c r="A46" s="882" t="s">
        <v>1366</v>
      </c>
      <c r="B46" s="145" t="s">
        <v>603</v>
      </c>
      <c r="C46" s="876" t="s">
        <v>1367</v>
      </c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>
        <v>10</v>
      </c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 t="s">
        <v>1360</v>
      </c>
      <c r="AI46" s="145"/>
      <c r="AJ46" s="116"/>
    </row>
    <row r="47" spans="1:36" s="598" customFormat="1" ht="15.75">
      <c r="A47" s="877"/>
      <c r="B47" s="1368" t="s">
        <v>1368</v>
      </c>
      <c r="C47" s="103" t="s">
        <v>350</v>
      </c>
      <c r="D47" s="149"/>
      <c r="E47" s="149"/>
      <c r="F47" s="149"/>
      <c r="G47" s="149"/>
      <c r="H47" s="149"/>
      <c r="I47" s="149"/>
      <c r="J47" s="149"/>
      <c r="K47" s="149"/>
      <c r="L47" s="878"/>
      <c r="M47" s="875"/>
      <c r="N47" s="784">
        <v>1</v>
      </c>
      <c r="O47" s="152">
        <v>1.538</v>
      </c>
      <c r="P47" s="411"/>
      <c r="Q47" s="411"/>
      <c r="R47" s="411"/>
      <c r="S47" s="411"/>
      <c r="T47" s="411"/>
      <c r="U47" s="411"/>
      <c r="V47" s="411"/>
      <c r="W47" s="411"/>
      <c r="X47" s="149"/>
      <c r="Y47" s="149"/>
      <c r="Z47" s="149"/>
      <c r="AA47" s="149"/>
      <c r="AB47" s="149"/>
      <c r="AC47" s="149"/>
      <c r="AD47" s="149"/>
      <c r="AE47" s="149"/>
      <c r="AF47" s="152" t="s">
        <v>37</v>
      </c>
      <c r="AG47" s="103">
        <v>27</v>
      </c>
      <c r="AH47" s="103" t="s">
        <v>297</v>
      </c>
      <c r="AI47" s="103" t="s">
        <v>1056</v>
      </c>
      <c r="AJ47" s="879" t="s">
        <v>675</v>
      </c>
    </row>
    <row r="48" spans="1:36" s="598" customFormat="1" ht="15.75">
      <c r="A48" s="880"/>
      <c r="B48" s="1368"/>
      <c r="C48" s="299" t="s">
        <v>1369</v>
      </c>
      <c r="D48" s="149"/>
      <c r="E48" s="149"/>
      <c r="F48" s="149"/>
      <c r="G48" s="149"/>
      <c r="H48" s="149"/>
      <c r="I48" s="149"/>
      <c r="J48" s="149"/>
      <c r="K48" s="149"/>
      <c r="L48" s="55"/>
      <c r="M48" s="55"/>
      <c r="N48" s="68">
        <v>1</v>
      </c>
      <c r="O48" s="68">
        <v>0.3955</v>
      </c>
      <c r="P48" s="169"/>
      <c r="Q48" s="169"/>
      <c r="R48" s="169"/>
      <c r="S48" s="169"/>
      <c r="T48" s="169"/>
      <c r="U48" s="169"/>
      <c r="V48" s="169"/>
      <c r="W48" s="169"/>
      <c r="X48" s="149"/>
      <c r="Y48" s="149"/>
      <c r="Z48" s="149"/>
      <c r="AA48" s="149"/>
      <c r="AB48" s="149"/>
      <c r="AC48" s="149"/>
      <c r="AD48" s="149"/>
      <c r="AE48" s="149"/>
      <c r="AF48" s="68" t="s">
        <v>685</v>
      </c>
      <c r="AG48" s="68">
        <v>18</v>
      </c>
      <c r="AH48" s="68" t="s">
        <v>297</v>
      </c>
      <c r="AI48" s="68" t="s">
        <v>1056</v>
      </c>
      <c r="AJ48" s="116" t="s">
        <v>675</v>
      </c>
    </row>
    <row r="49" spans="1:36" s="598" customFormat="1" ht="15.75">
      <c r="A49" s="881"/>
      <c r="B49" s="1369"/>
      <c r="C49" s="299" t="s">
        <v>1370</v>
      </c>
      <c r="D49" s="149"/>
      <c r="E49" s="149"/>
      <c r="F49" s="149"/>
      <c r="G49" s="149"/>
      <c r="H49" s="149"/>
      <c r="I49" s="149"/>
      <c r="J49" s="149"/>
      <c r="K49" s="149"/>
      <c r="L49" s="55"/>
      <c r="M49" s="55"/>
      <c r="N49" s="68">
        <v>2</v>
      </c>
      <c r="O49" s="68">
        <v>0.85</v>
      </c>
      <c r="P49" s="169"/>
      <c r="Q49" s="169"/>
      <c r="R49" s="169"/>
      <c r="S49" s="169"/>
      <c r="T49" s="169"/>
      <c r="U49" s="169"/>
      <c r="V49" s="169"/>
      <c r="W49" s="169"/>
      <c r="X49" s="149"/>
      <c r="Y49" s="149"/>
      <c r="Z49" s="149"/>
      <c r="AA49" s="149"/>
      <c r="AB49" s="149"/>
      <c r="AC49" s="149"/>
      <c r="AD49" s="149"/>
      <c r="AE49" s="149"/>
      <c r="AF49" s="68" t="s">
        <v>37</v>
      </c>
      <c r="AG49" s="68">
        <v>57</v>
      </c>
      <c r="AH49" s="68" t="s">
        <v>297</v>
      </c>
      <c r="AI49" s="68" t="s">
        <v>1056</v>
      </c>
      <c r="AJ49" s="116" t="s">
        <v>675</v>
      </c>
    </row>
    <row r="50" spans="1:36" s="598" customFormat="1" ht="15.75">
      <c r="A50" s="881"/>
      <c r="B50" s="1369"/>
      <c r="C50" s="299" t="s">
        <v>34</v>
      </c>
      <c r="D50" s="149"/>
      <c r="E50" s="149"/>
      <c r="F50" s="149"/>
      <c r="G50" s="149"/>
      <c r="H50" s="149"/>
      <c r="I50" s="149"/>
      <c r="J50" s="149"/>
      <c r="K50" s="149"/>
      <c r="L50" s="55"/>
      <c r="M50" s="55"/>
      <c r="N50" s="68">
        <v>2</v>
      </c>
      <c r="O50" s="68">
        <v>1.206</v>
      </c>
      <c r="P50" s="169"/>
      <c r="Q50" s="169"/>
      <c r="R50" s="169"/>
      <c r="S50" s="169"/>
      <c r="T50" s="169"/>
      <c r="U50" s="169"/>
      <c r="V50" s="169"/>
      <c r="W50" s="169"/>
      <c r="X50" s="149"/>
      <c r="Y50" s="149"/>
      <c r="Z50" s="149"/>
      <c r="AA50" s="149"/>
      <c r="AB50" s="149"/>
      <c r="AC50" s="149"/>
      <c r="AD50" s="149"/>
      <c r="AE50" s="149"/>
      <c r="AF50" s="68" t="s">
        <v>37</v>
      </c>
      <c r="AG50" s="68">
        <v>80</v>
      </c>
      <c r="AH50" s="68" t="s">
        <v>297</v>
      </c>
      <c r="AI50" s="68" t="s">
        <v>1056</v>
      </c>
      <c r="AJ50" s="116" t="s">
        <v>675</v>
      </c>
    </row>
    <row r="51" spans="1:36" s="598" customFormat="1" ht="63">
      <c r="A51" s="881"/>
      <c r="B51" s="1369"/>
      <c r="C51" s="299" t="s">
        <v>1371</v>
      </c>
      <c r="D51" s="149"/>
      <c r="E51" s="149"/>
      <c r="F51" s="149"/>
      <c r="G51" s="149"/>
      <c r="H51" s="149"/>
      <c r="I51" s="149"/>
      <c r="J51" s="149"/>
      <c r="K51" s="149"/>
      <c r="L51" s="55"/>
      <c r="M51" s="55"/>
      <c r="N51" s="68">
        <v>1</v>
      </c>
      <c r="O51" s="68">
        <v>1000</v>
      </c>
      <c r="P51" s="169"/>
      <c r="Q51" s="169"/>
      <c r="R51" s="169"/>
      <c r="S51" s="169"/>
      <c r="T51" s="169"/>
      <c r="U51" s="169"/>
      <c r="V51" s="169"/>
      <c r="W51" s="169"/>
      <c r="X51" s="149"/>
      <c r="Y51" s="149"/>
      <c r="Z51" s="149"/>
      <c r="AA51" s="149"/>
      <c r="AB51" s="149"/>
      <c r="AC51" s="149"/>
      <c r="AD51" s="149"/>
      <c r="AE51" s="145"/>
      <c r="AF51" s="68" t="s">
        <v>1372</v>
      </c>
      <c r="AG51" s="68">
        <v>3</v>
      </c>
      <c r="AH51" s="68" t="s">
        <v>297</v>
      </c>
      <c r="AI51" s="68" t="s">
        <v>1056</v>
      </c>
      <c r="AJ51" s="116" t="s">
        <v>675</v>
      </c>
    </row>
    <row r="52" spans="1:36" s="598" customFormat="1" ht="30.75" thickBot="1">
      <c r="A52" s="341"/>
      <c r="B52" s="343" t="s">
        <v>1373</v>
      </c>
      <c r="C52" s="343" t="s">
        <v>1356</v>
      </c>
      <c r="D52" s="343"/>
      <c r="E52" s="343"/>
      <c r="F52" s="343"/>
      <c r="G52" s="343"/>
      <c r="H52" s="343"/>
      <c r="I52" s="343"/>
      <c r="J52" s="343"/>
      <c r="K52" s="343"/>
      <c r="L52" s="343"/>
      <c r="M52" s="343"/>
      <c r="N52" s="343"/>
      <c r="O52" s="343"/>
      <c r="P52" s="343"/>
      <c r="Q52" s="343"/>
      <c r="R52" s="343"/>
      <c r="S52" s="343"/>
      <c r="T52" s="343"/>
      <c r="U52" s="343"/>
      <c r="V52" s="343"/>
      <c r="W52" s="343"/>
      <c r="X52" s="343">
        <v>35</v>
      </c>
      <c r="Y52" s="343">
        <v>132</v>
      </c>
      <c r="Z52" s="343"/>
      <c r="AA52" s="343"/>
      <c r="AB52" s="343"/>
      <c r="AC52" s="343"/>
      <c r="AD52" s="343"/>
      <c r="AE52" s="343"/>
      <c r="AF52" s="343"/>
      <c r="AG52" s="343"/>
      <c r="AH52" s="343"/>
      <c r="AI52" s="343"/>
      <c r="AJ52" s="344"/>
    </row>
    <row r="53" spans="1:36" s="598" customFormat="1" ht="16.5" thickBot="1">
      <c r="A53" s="887"/>
      <c r="B53" s="888"/>
      <c r="C53" s="889" t="s">
        <v>17</v>
      </c>
      <c r="D53" s="889">
        <f>SUM(D6:D52)</f>
        <v>4049</v>
      </c>
      <c r="E53" s="889">
        <f aca="true" t="shared" si="0" ref="E53:AE53">SUM(E6:E52)</f>
        <v>0</v>
      </c>
      <c r="F53" s="889">
        <f t="shared" si="0"/>
        <v>1770</v>
      </c>
      <c r="G53" s="889">
        <f t="shared" si="0"/>
        <v>659.43</v>
      </c>
      <c r="H53" s="889">
        <f t="shared" si="0"/>
        <v>0</v>
      </c>
      <c r="I53" s="889">
        <f t="shared" si="0"/>
        <v>0</v>
      </c>
      <c r="J53" s="889">
        <f t="shared" si="0"/>
        <v>720</v>
      </c>
      <c r="K53" s="889">
        <f t="shared" si="0"/>
        <v>11.05</v>
      </c>
      <c r="L53" s="889">
        <f t="shared" si="0"/>
        <v>96</v>
      </c>
      <c r="M53" s="889">
        <f t="shared" si="0"/>
        <v>0</v>
      </c>
      <c r="N53" s="889">
        <f t="shared" si="0"/>
        <v>159</v>
      </c>
      <c r="O53" s="889">
        <f t="shared" si="0"/>
        <v>1049.2827</v>
      </c>
      <c r="P53" s="889">
        <f t="shared" si="0"/>
        <v>0</v>
      </c>
      <c r="Q53" s="889">
        <f t="shared" si="0"/>
        <v>0</v>
      </c>
      <c r="R53" s="889">
        <f t="shared" si="0"/>
        <v>0</v>
      </c>
      <c r="S53" s="889">
        <f t="shared" si="0"/>
        <v>0</v>
      </c>
      <c r="T53" s="889">
        <f t="shared" si="0"/>
        <v>120</v>
      </c>
      <c r="U53" s="889">
        <f t="shared" si="0"/>
        <v>183</v>
      </c>
      <c r="V53" s="889">
        <f t="shared" si="0"/>
        <v>0</v>
      </c>
      <c r="W53" s="889">
        <f t="shared" si="0"/>
        <v>181.42000000000002</v>
      </c>
      <c r="X53" s="889">
        <f t="shared" si="0"/>
        <v>81</v>
      </c>
      <c r="Y53" s="889">
        <f t="shared" si="0"/>
        <v>195</v>
      </c>
      <c r="Z53" s="889">
        <f t="shared" si="0"/>
        <v>5344</v>
      </c>
      <c r="AA53" s="889">
        <f t="shared" si="0"/>
        <v>152051.6</v>
      </c>
      <c r="AB53" s="889">
        <f t="shared" si="0"/>
        <v>1189</v>
      </c>
      <c r="AC53" s="889">
        <f t="shared" si="0"/>
        <v>180</v>
      </c>
      <c r="AD53" s="889">
        <f t="shared" si="0"/>
        <v>1514</v>
      </c>
      <c r="AE53" s="889">
        <f t="shared" si="0"/>
        <v>38.635</v>
      </c>
      <c r="AF53" s="890"/>
      <c r="AG53" s="890"/>
      <c r="AH53" s="890"/>
      <c r="AI53" s="891"/>
      <c r="AJ53" s="892"/>
    </row>
    <row r="54" spans="1:36" s="598" customFormat="1" ht="15.75">
      <c r="A54" s="23"/>
      <c r="B54" s="19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2"/>
      <c r="AG54" s="23"/>
      <c r="AH54" s="22"/>
      <c r="AI54" s="22"/>
      <c r="AJ54" s="22"/>
    </row>
    <row r="55" spans="1:36" s="598" customFormat="1" ht="15.75">
      <c r="A55" s="23"/>
      <c r="B55" s="893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2"/>
      <c r="AG55" s="23"/>
      <c r="AH55" s="22"/>
      <c r="AI55" s="22"/>
      <c r="AJ55" s="22"/>
    </row>
    <row r="56" spans="1:36" s="598" customFormat="1" ht="15.75">
      <c r="A56" s="23"/>
      <c r="B56" s="893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2"/>
      <c r="AG56" s="23"/>
      <c r="AH56" s="22"/>
      <c r="AI56" s="22"/>
      <c r="AJ56" s="22"/>
    </row>
    <row r="57" spans="1:36" s="598" customFormat="1" ht="15.75">
      <c r="A57" s="23"/>
      <c r="B57" s="893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2"/>
      <c r="AG57" s="23"/>
      <c r="AH57" s="22"/>
      <c r="AI57" s="22"/>
      <c r="AJ57" s="22"/>
    </row>
    <row r="58" spans="1:36" s="598" customFormat="1" ht="15.75">
      <c r="A58" s="23"/>
      <c r="B58" s="893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2"/>
      <c r="AG58" s="23"/>
      <c r="AH58" s="22"/>
      <c r="AI58" s="22"/>
      <c r="AJ58" s="22"/>
    </row>
    <row r="59" spans="1:36" s="598" customFormat="1" ht="15.75">
      <c r="A59" s="23"/>
      <c r="B59" s="89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22"/>
      <c r="AG59" s="23"/>
      <c r="AH59" s="22"/>
      <c r="AI59" s="22"/>
      <c r="AJ59" s="22"/>
    </row>
    <row r="60" spans="1:36" s="598" customFormat="1" ht="15.75">
      <c r="A60" s="23"/>
      <c r="B60" s="894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22"/>
      <c r="AG60" s="23"/>
      <c r="AH60" s="22"/>
      <c r="AI60" s="22"/>
      <c r="AJ60" s="22"/>
    </row>
    <row r="61" spans="1:36" s="598" customFormat="1" ht="15.75">
      <c r="A61" s="23"/>
      <c r="B61" s="89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22"/>
      <c r="AG61" s="23"/>
      <c r="AH61" s="22"/>
      <c r="AI61" s="22"/>
      <c r="AJ61" s="22"/>
    </row>
    <row r="62" spans="1:36" s="598" customFormat="1" ht="15.75">
      <c r="A62" s="23"/>
      <c r="B62" s="89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22"/>
      <c r="AG62" s="23"/>
      <c r="AH62" s="22"/>
      <c r="AI62" s="22"/>
      <c r="AJ62" s="22"/>
    </row>
    <row r="63" spans="1:36" s="598" customFormat="1" ht="15.75">
      <c r="A63" s="23"/>
      <c r="B63" s="89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22"/>
      <c r="AG63" s="23"/>
      <c r="AH63" s="22"/>
      <c r="AI63" s="22"/>
      <c r="AJ63" s="22"/>
    </row>
    <row r="64" spans="1:36" s="598" customFormat="1" ht="15.75">
      <c r="A64" s="23"/>
      <c r="B64" s="894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22"/>
      <c r="AG64" s="23"/>
      <c r="AH64" s="22"/>
      <c r="AI64" s="22"/>
      <c r="AJ64" s="22"/>
    </row>
    <row r="65" spans="1:36" s="598" customFormat="1" ht="15.75">
      <c r="A65" s="23"/>
      <c r="B65" s="89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22"/>
      <c r="AG65" s="23"/>
      <c r="AH65" s="22"/>
      <c r="AI65" s="22"/>
      <c r="AJ65" s="22"/>
    </row>
    <row r="66" spans="1:36" s="598" customFormat="1" ht="15.75">
      <c r="A66" s="23"/>
      <c r="B66" s="89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22"/>
      <c r="AG66" s="23"/>
      <c r="AH66" s="22"/>
      <c r="AI66" s="22"/>
      <c r="AJ66" s="22"/>
    </row>
    <row r="67" spans="1:36" s="598" customFormat="1" ht="15.75">
      <c r="A67" s="23"/>
      <c r="B67" s="89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22"/>
      <c r="AG67" s="23"/>
      <c r="AH67" s="22"/>
      <c r="AI67" s="22"/>
      <c r="AJ67" s="22"/>
    </row>
    <row r="68" spans="1:36" s="598" customFormat="1" ht="15.75">
      <c r="A68" s="23"/>
      <c r="B68" s="89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22"/>
      <c r="AG68" s="23"/>
      <c r="AH68" s="22"/>
      <c r="AI68" s="22"/>
      <c r="AJ68" s="22"/>
    </row>
    <row r="69" spans="1:36" s="598" customFormat="1" ht="15.75">
      <c r="A69" s="23"/>
      <c r="B69" s="89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22"/>
      <c r="AG69" s="23"/>
      <c r="AH69" s="22"/>
      <c r="AI69" s="22"/>
      <c r="AJ69" s="22"/>
    </row>
    <row r="70" spans="1:36" s="598" customFormat="1" ht="15.75">
      <c r="A70" s="23"/>
      <c r="B70" s="894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22"/>
      <c r="AG70" s="23"/>
      <c r="AH70" s="22"/>
      <c r="AI70" s="22"/>
      <c r="AJ70" s="22"/>
    </row>
    <row r="71" spans="1:36" s="598" customFormat="1" ht="15.75">
      <c r="A71" s="23"/>
      <c r="B71" s="894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22"/>
      <c r="AG71" s="23"/>
      <c r="AH71" s="22"/>
      <c r="AI71" s="22"/>
      <c r="AJ71" s="22"/>
    </row>
    <row r="72" spans="1:36" s="598" customFormat="1" ht="15.75">
      <c r="A72" s="23"/>
      <c r="B72" s="894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22"/>
      <c r="AG72" s="23"/>
      <c r="AH72" s="22"/>
      <c r="AI72" s="22"/>
      <c r="AJ72" s="22"/>
    </row>
    <row r="73" spans="1:36" s="598" customFormat="1" ht="15.75">
      <c r="A73" s="23"/>
      <c r="B73" s="894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22"/>
      <c r="AG73" s="23"/>
      <c r="AH73" s="22"/>
      <c r="AI73" s="22"/>
      <c r="AJ73" s="22"/>
    </row>
    <row r="74" spans="1:36" s="598" customFormat="1" ht="15.75">
      <c r="A74" s="23"/>
      <c r="B74" s="89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22"/>
      <c r="AG74" s="23"/>
      <c r="AH74" s="22"/>
      <c r="AI74" s="22"/>
      <c r="AJ74" s="22"/>
    </row>
    <row r="75" spans="1:36" s="598" customFormat="1" ht="15.75">
      <c r="A75" s="23"/>
      <c r="B75" s="894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22"/>
      <c r="AG75" s="23"/>
      <c r="AH75" s="22"/>
      <c r="AI75" s="22"/>
      <c r="AJ75" s="22"/>
    </row>
    <row r="76" spans="1:36" s="598" customFormat="1" ht="15.75">
      <c r="A76" s="23"/>
      <c r="B76" s="89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22"/>
      <c r="AG76" s="23"/>
      <c r="AH76" s="22"/>
      <c r="AI76" s="22"/>
      <c r="AJ76" s="22"/>
    </row>
    <row r="77" spans="1:36" s="598" customFormat="1" ht="15.75">
      <c r="A77" s="23"/>
      <c r="B77" s="894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22"/>
      <c r="AG77" s="23"/>
      <c r="AH77" s="22"/>
      <c r="AI77" s="22"/>
      <c r="AJ77" s="22"/>
    </row>
    <row r="78" spans="1:36" s="598" customFormat="1" ht="15.75">
      <c r="A78" s="23"/>
      <c r="B78" s="894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22"/>
      <c r="AG78" s="23"/>
      <c r="AH78" s="22"/>
      <c r="AI78" s="22"/>
      <c r="AJ78" s="22"/>
    </row>
    <row r="79" spans="1:36" s="598" customFormat="1" ht="15.75">
      <c r="A79" s="23"/>
      <c r="B79" s="89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22"/>
      <c r="AG79" s="23"/>
      <c r="AH79" s="22"/>
      <c r="AI79" s="22"/>
      <c r="AJ79" s="22"/>
    </row>
    <row r="80" spans="1:36" s="598" customFormat="1" ht="15.75">
      <c r="A80" s="23"/>
      <c r="B80" s="894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22"/>
      <c r="AG80" s="23"/>
      <c r="AH80" s="22"/>
      <c r="AI80" s="22"/>
      <c r="AJ80" s="22"/>
    </row>
    <row r="81" spans="1:36" s="598" customFormat="1" ht="15.75">
      <c r="A81" s="23"/>
      <c r="B81" s="89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22"/>
      <c r="AG81" s="23"/>
      <c r="AH81" s="22"/>
      <c r="AI81" s="22"/>
      <c r="AJ81" s="22"/>
    </row>
    <row r="82" spans="1:36" s="598" customFormat="1" ht="15.75">
      <c r="A82" s="23"/>
      <c r="B82" s="894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22"/>
      <c r="AG82" s="23"/>
      <c r="AH82" s="22"/>
      <c r="AI82" s="22"/>
      <c r="AJ82" s="22"/>
    </row>
    <row r="83" spans="1:36" s="598" customFormat="1" ht="15.75">
      <c r="A83" s="23"/>
      <c r="B83" s="89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22"/>
      <c r="AG83" s="23"/>
      <c r="AH83" s="22"/>
      <c r="AI83" s="22"/>
      <c r="AJ83" s="22"/>
    </row>
    <row r="84" spans="1:36" s="598" customFormat="1" ht="15.75">
      <c r="A84" s="23"/>
      <c r="B84" s="894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22"/>
      <c r="AG84" s="23"/>
      <c r="AH84" s="22"/>
      <c r="AI84" s="22"/>
      <c r="AJ84" s="22"/>
    </row>
    <row r="85" spans="1:36" s="598" customFormat="1" ht="15.75">
      <c r="A85" s="23"/>
      <c r="B85" s="894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22"/>
      <c r="AG85" s="23"/>
      <c r="AH85" s="22"/>
      <c r="AI85" s="22"/>
      <c r="AJ85" s="22"/>
    </row>
    <row r="86" spans="1:36" s="598" customFormat="1" ht="15.75">
      <c r="A86" s="23"/>
      <c r="B86" s="894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22"/>
      <c r="AG86" s="23"/>
      <c r="AH86" s="22"/>
      <c r="AI86" s="22"/>
      <c r="AJ86" s="22"/>
    </row>
    <row r="87" spans="1:36" s="598" customFormat="1" ht="15.75">
      <c r="A87" s="23"/>
      <c r="B87" s="89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22"/>
      <c r="AG87" s="23"/>
      <c r="AH87" s="22"/>
      <c r="AI87" s="22"/>
      <c r="AJ87" s="22"/>
    </row>
    <row r="88" spans="1:36" s="598" customFormat="1" ht="15.75">
      <c r="A88" s="23"/>
      <c r="B88" s="894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22"/>
      <c r="AG88" s="23"/>
      <c r="AH88" s="22"/>
      <c r="AI88" s="22"/>
      <c r="AJ88" s="22"/>
    </row>
    <row r="89" spans="1:36" s="598" customFormat="1" ht="15.75">
      <c r="A89" s="23"/>
      <c r="B89" s="894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22"/>
      <c r="AG89" s="23"/>
      <c r="AH89" s="22"/>
      <c r="AI89" s="22"/>
      <c r="AJ89" s="22"/>
    </row>
    <row r="90" spans="1:36" s="598" customFormat="1" ht="15.75">
      <c r="A90" s="23"/>
      <c r="B90" s="89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22"/>
      <c r="AG90" s="23"/>
      <c r="AH90" s="22"/>
      <c r="AI90" s="22"/>
      <c r="AJ90" s="22"/>
    </row>
    <row r="91" spans="1:36" s="598" customFormat="1" ht="15.75">
      <c r="A91" s="23"/>
      <c r="B91" s="89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22"/>
      <c r="AG91" s="23"/>
      <c r="AH91" s="22"/>
      <c r="AI91" s="22"/>
      <c r="AJ91" s="22"/>
    </row>
    <row r="92" spans="1:36" s="598" customFormat="1" ht="15.75">
      <c r="A92" s="23"/>
      <c r="B92" s="89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22"/>
      <c r="AG92" s="23"/>
      <c r="AH92" s="22"/>
      <c r="AI92" s="22"/>
      <c r="AJ92" s="22"/>
    </row>
    <row r="93" spans="1:36" s="598" customFormat="1" ht="15.75">
      <c r="A93" s="23"/>
      <c r="B93" s="89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22"/>
      <c r="AG93" s="23"/>
      <c r="AH93" s="22"/>
      <c r="AI93" s="22"/>
      <c r="AJ93" s="22"/>
    </row>
    <row r="94" spans="1:36" s="598" customFormat="1" ht="15.75">
      <c r="A94" s="23"/>
      <c r="B94" s="89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22"/>
      <c r="AG94" s="23"/>
      <c r="AH94" s="22"/>
      <c r="AI94" s="22"/>
      <c r="AJ94" s="22"/>
    </row>
    <row r="95" spans="1:36" s="598" customFormat="1" ht="15.75">
      <c r="A95" s="23"/>
      <c r="B95" s="894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22"/>
      <c r="AG95" s="23"/>
      <c r="AH95" s="22"/>
      <c r="AI95" s="22"/>
      <c r="AJ95" s="22"/>
    </row>
    <row r="96" spans="1:36" s="598" customFormat="1" ht="15.75">
      <c r="A96" s="23"/>
      <c r="B96" s="894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22"/>
      <c r="AG96" s="23"/>
      <c r="AH96" s="22"/>
      <c r="AI96" s="22"/>
      <c r="AJ96" s="22"/>
    </row>
    <row r="97" spans="1:36" s="598" customFormat="1" ht="15.75">
      <c r="A97" s="23"/>
      <c r="B97" s="894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22"/>
      <c r="AG97" s="23"/>
      <c r="AH97" s="22"/>
      <c r="AI97" s="22"/>
      <c r="AJ97" s="22"/>
    </row>
    <row r="98" spans="1:36" s="598" customFormat="1" ht="15.75">
      <c r="A98" s="23"/>
      <c r="B98" s="89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22"/>
      <c r="AG98" s="23"/>
      <c r="AH98" s="22"/>
      <c r="AI98" s="22"/>
      <c r="AJ98" s="22"/>
    </row>
    <row r="99" spans="1:36" s="598" customFormat="1" ht="15.75">
      <c r="A99" s="23"/>
      <c r="B99" s="894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22"/>
      <c r="AG99" s="23"/>
      <c r="AH99" s="22"/>
      <c r="AI99" s="22"/>
      <c r="AJ99" s="22"/>
    </row>
    <row r="100" spans="1:36" s="598" customFormat="1" ht="15.75">
      <c r="A100" s="23"/>
      <c r="B100" s="89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22"/>
      <c r="AG100" s="23"/>
      <c r="AH100" s="22"/>
      <c r="AI100" s="22"/>
      <c r="AJ100" s="22"/>
    </row>
    <row r="101" spans="1:36" s="598" customFormat="1" ht="15.75">
      <c r="A101" s="23"/>
      <c r="B101" s="894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22"/>
      <c r="AG101" s="23"/>
      <c r="AH101" s="22"/>
      <c r="AI101" s="22"/>
      <c r="AJ101" s="22"/>
    </row>
    <row r="102" spans="1:36" s="598" customFormat="1" ht="15.75">
      <c r="A102" s="23"/>
      <c r="B102" s="894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22"/>
      <c r="AG102" s="23"/>
      <c r="AH102" s="22"/>
      <c r="AI102" s="22"/>
      <c r="AJ102" s="22"/>
    </row>
    <row r="103" spans="1:36" s="598" customFormat="1" ht="15.75">
      <c r="A103" s="23"/>
      <c r="B103" s="894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22"/>
      <c r="AG103" s="23"/>
      <c r="AH103" s="22"/>
      <c r="AI103" s="22"/>
      <c r="AJ103" s="22"/>
    </row>
    <row r="104" spans="1:36" s="598" customFormat="1" ht="15.75">
      <c r="A104" s="23"/>
      <c r="B104" s="894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22"/>
      <c r="AG104" s="23"/>
      <c r="AH104" s="22"/>
      <c r="AI104" s="22"/>
      <c r="AJ104" s="22"/>
    </row>
    <row r="105" spans="1:36" s="598" customFormat="1" ht="15.75">
      <c r="A105" s="23"/>
      <c r="B105" s="89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22"/>
      <c r="AG105" s="23"/>
      <c r="AH105" s="22"/>
      <c r="AI105" s="22"/>
      <c r="AJ105" s="22"/>
    </row>
    <row r="106" spans="1:36" s="598" customFormat="1" ht="15.75">
      <c r="A106" s="23"/>
      <c r="B106" s="89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22"/>
      <c r="AG106" s="23"/>
      <c r="AH106" s="22"/>
      <c r="AI106" s="22"/>
      <c r="AJ106" s="22"/>
    </row>
    <row r="107" spans="1:36" s="598" customFormat="1" ht="15.75">
      <c r="A107" s="23"/>
      <c r="B107" s="89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22"/>
      <c r="AG107" s="23"/>
      <c r="AH107" s="22"/>
      <c r="AI107" s="22"/>
      <c r="AJ107" s="22"/>
    </row>
    <row r="108" spans="1:36" s="598" customFormat="1" ht="15.75">
      <c r="A108" s="23"/>
      <c r="B108" s="894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22"/>
      <c r="AG108" s="23"/>
      <c r="AH108" s="22"/>
      <c r="AI108" s="22"/>
      <c r="AJ108" s="22"/>
    </row>
    <row r="109" spans="1:36" s="598" customFormat="1" ht="15.75">
      <c r="A109" s="23"/>
      <c r="B109" s="89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22"/>
      <c r="AG109" s="23"/>
      <c r="AH109" s="22"/>
      <c r="AI109" s="22"/>
      <c r="AJ109" s="22"/>
    </row>
    <row r="110" spans="1:36" s="598" customFormat="1" ht="15.75">
      <c r="A110" s="23"/>
      <c r="B110" s="894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22"/>
      <c r="AG110" s="23"/>
      <c r="AH110" s="22"/>
      <c r="AI110" s="22"/>
      <c r="AJ110" s="22"/>
    </row>
    <row r="111" spans="1:36" s="598" customFormat="1" ht="15.75">
      <c r="A111" s="23"/>
      <c r="B111" s="894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22"/>
      <c r="AG111" s="23"/>
      <c r="AH111" s="22"/>
      <c r="AI111" s="22"/>
      <c r="AJ111" s="22"/>
    </row>
    <row r="112" spans="1:36" s="598" customFormat="1" ht="15.75">
      <c r="A112" s="23"/>
      <c r="B112" s="89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22"/>
      <c r="AG112" s="23"/>
      <c r="AH112" s="22"/>
      <c r="AI112" s="22"/>
      <c r="AJ112" s="22"/>
    </row>
    <row r="113" spans="1:36" s="598" customFormat="1" ht="15.75">
      <c r="A113" s="23"/>
      <c r="B113" s="894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22"/>
      <c r="AG113" s="23"/>
      <c r="AH113" s="22"/>
      <c r="AI113" s="22"/>
      <c r="AJ113" s="22"/>
    </row>
    <row r="114" spans="1:36" s="598" customFormat="1" ht="15.75">
      <c r="A114" s="23"/>
      <c r="B114" s="894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22"/>
      <c r="AG114" s="23"/>
      <c r="AH114" s="22"/>
      <c r="AI114" s="22"/>
      <c r="AJ114" s="22"/>
    </row>
    <row r="115" spans="1:36" s="598" customFormat="1" ht="15.75">
      <c r="A115" s="23"/>
      <c r="B115" s="894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22"/>
      <c r="AG115" s="23"/>
      <c r="AH115" s="22"/>
      <c r="AI115" s="22"/>
      <c r="AJ115" s="22"/>
    </row>
    <row r="116" spans="1:36" s="598" customFormat="1" ht="15.75">
      <c r="A116" s="23"/>
      <c r="B116" s="894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22"/>
      <c r="AG116" s="23"/>
      <c r="AH116" s="22"/>
      <c r="AI116" s="22"/>
      <c r="AJ116" s="22"/>
    </row>
    <row r="117" spans="1:36" s="598" customFormat="1" ht="15.75">
      <c r="A117" s="23"/>
      <c r="B117" s="894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22"/>
      <c r="AG117" s="23"/>
      <c r="AH117" s="22"/>
      <c r="AI117" s="22"/>
      <c r="AJ117" s="22"/>
    </row>
    <row r="118" spans="1:36" s="598" customFormat="1" ht="15.75">
      <c r="A118" s="23"/>
      <c r="B118" s="894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22"/>
      <c r="AG118" s="23"/>
      <c r="AH118" s="22"/>
      <c r="AI118" s="22"/>
      <c r="AJ118" s="22"/>
    </row>
    <row r="119" spans="1:36" s="598" customFormat="1" ht="15.75">
      <c r="A119" s="23"/>
      <c r="B119" s="894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22"/>
      <c r="AG119" s="23"/>
      <c r="AH119" s="22"/>
      <c r="AI119" s="22"/>
      <c r="AJ119" s="22"/>
    </row>
    <row r="120" spans="1:36" s="598" customFormat="1" ht="15.75">
      <c r="A120" s="23"/>
      <c r="B120" s="894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22"/>
      <c r="AG120" s="23"/>
      <c r="AH120" s="22"/>
      <c r="AI120" s="22"/>
      <c r="AJ120" s="22"/>
    </row>
    <row r="121" spans="1:36" s="598" customFormat="1" ht="15.75">
      <c r="A121" s="23"/>
      <c r="B121" s="894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22"/>
      <c r="AG121" s="23"/>
      <c r="AH121" s="22"/>
      <c r="AI121" s="22"/>
      <c r="AJ121" s="22"/>
    </row>
    <row r="122" spans="1:36" s="598" customFormat="1" ht="15.75">
      <c r="A122" s="23"/>
      <c r="B122" s="894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22"/>
      <c r="AG122" s="23"/>
      <c r="AH122" s="22"/>
      <c r="AI122" s="22"/>
      <c r="AJ122" s="22"/>
    </row>
    <row r="123" spans="1:36" s="598" customFormat="1" ht="15.75">
      <c r="A123" s="23"/>
      <c r="B123" s="894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22"/>
      <c r="AG123" s="23"/>
      <c r="AH123" s="22"/>
      <c r="AI123" s="22"/>
      <c r="AJ123" s="22"/>
    </row>
    <row r="124" spans="32:36" ht="15.75">
      <c r="AF124" s="22"/>
      <c r="AG124" s="23"/>
      <c r="AH124" s="22"/>
      <c r="AI124" s="22"/>
      <c r="AJ124" s="22"/>
    </row>
    <row r="125" spans="32:36" ht="15.75">
      <c r="AF125" s="22"/>
      <c r="AG125" s="23"/>
      <c r="AH125" s="22"/>
      <c r="AI125" s="22"/>
      <c r="AJ125" s="22"/>
    </row>
    <row r="126" spans="32:36" ht="15.75">
      <c r="AF126" s="22"/>
      <c r="AG126" s="23"/>
      <c r="AH126" s="22"/>
      <c r="AI126" s="22"/>
      <c r="AJ126" s="22"/>
    </row>
    <row r="127" spans="32:36" ht="15.75">
      <c r="AF127" s="22"/>
      <c r="AG127" s="23"/>
      <c r="AH127" s="22"/>
      <c r="AI127" s="22"/>
      <c r="AJ127" s="22"/>
    </row>
    <row r="128" spans="32:36" ht="15.75">
      <c r="AF128" s="22"/>
      <c r="AG128" s="23"/>
      <c r="AH128" s="22"/>
      <c r="AI128" s="22"/>
      <c r="AJ128" s="22"/>
    </row>
    <row r="129" spans="32:36" ht="15.75">
      <c r="AF129" s="22"/>
      <c r="AG129" s="23"/>
      <c r="AH129" s="22"/>
      <c r="AI129" s="22"/>
      <c r="AJ129" s="22"/>
    </row>
    <row r="130" spans="32:36" ht="15.75">
      <c r="AF130" s="22"/>
      <c r="AG130" s="23"/>
      <c r="AH130" s="22"/>
      <c r="AI130" s="22"/>
      <c r="AJ130" s="22"/>
    </row>
  </sheetData>
  <sheetProtection/>
  <mergeCells count="53">
    <mergeCell ref="AD29:AD35"/>
    <mergeCell ref="AE29:AE35"/>
    <mergeCell ref="B47:B51"/>
    <mergeCell ref="B22:B28"/>
    <mergeCell ref="AE22:AE28"/>
    <mergeCell ref="A29:A35"/>
    <mergeCell ref="B29:B35"/>
    <mergeCell ref="G29:G35"/>
    <mergeCell ref="N29:N35"/>
    <mergeCell ref="O29:O35"/>
    <mergeCell ref="W29:W35"/>
    <mergeCell ref="AB29:AB35"/>
    <mergeCell ref="AC29:AC35"/>
    <mergeCell ref="AJ4:AJ5"/>
    <mergeCell ref="A6:A8"/>
    <mergeCell ref="B6:B16"/>
    <mergeCell ref="G6:G13"/>
    <mergeCell ref="AE6:AE14"/>
    <mergeCell ref="B17:B20"/>
    <mergeCell ref="N17:N20"/>
    <mergeCell ref="O17:O20"/>
    <mergeCell ref="AB4:AC4"/>
    <mergeCell ref="AD4:AE4"/>
    <mergeCell ref="AF4:AF5"/>
    <mergeCell ref="AG4:AG5"/>
    <mergeCell ref="AH4:AH5"/>
    <mergeCell ref="AI4:AI5"/>
    <mergeCell ref="P4:Q4"/>
    <mergeCell ref="R4:S4"/>
    <mergeCell ref="T4:U4"/>
    <mergeCell ref="V4:W4"/>
    <mergeCell ref="X4:Y4"/>
    <mergeCell ref="Z4:AA4"/>
    <mergeCell ref="AF3:AJ3"/>
    <mergeCell ref="A4:A5"/>
    <mergeCell ref="B4:B5"/>
    <mergeCell ref="C4:C5"/>
    <mergeCell ref="D4:E4"/>
    <mergeCell ref="F4:G4"/>
    <mergeCell ref="H4:I4"/>
    <mergeCell ref="J4:K4"/>
    <mergeCell ref="L4:M4"/>
    <mergeCell ref="N4:O4"/>
    <mergeCell ref="A1:AJ1"/>
    <mergeCell ref="A2:AJ2"/>
    <mergeCell ref="A3:C3"/>
    <mergeCell ref="D3:G3"/>
    <mergeCell ref="H3:K3"/>
    <mergeCell ref="L3:O3"/>
    <mergeCell ref="P3:S3"/>
    <mergeCell ref="T3:W3"/>
    <mergeCell ref="X3:AA3"/>
    <mergeCell ref="AB3:A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67"/>
  <sheetViews>
    <sheetView zoomScale="80" zoomScaleNormal="8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5"/>
  <cols>
    <col min="1" max="1" width="9.28125" style="469" bestFit="1" customWidth="1"/>
    <col min="2" max="2" width="39.140625" style="469" bestFit="1" customWidth="1"/>
    <col min="3" max="3" width="22.8515625" style="221" customWidth="1"/>
    <col min="4" max="4" width="6.57421875" style="221" customWidth="1"/>
    <col min="5" max="5" width="5.8515625" style="221" customWidth="1"/>
    <col min="6" max="6" width="5.00390625" style="221" bestFit="1" customWidth="1"/>
    <col min="7" max="7" width="6.421875" style="221" bestFit="1" customWidth="1"/>
    <col min="8" max="10" width="4.00390625" style="221" bestFit="1" customWidth="1"/>
    <col min="11" max="11" width="5.421875" style="221" bestFit="1" customWidth="1"/>
    <col min="12" max="12" width="5.00390625" style="221" bestFit="1" customWidth="1"/>
    <col min="13" max="13" width="4.00390625" style="221" bestFit="1" customWidth="1"/>
    <col min="14" max="14" width="5.00390625" style="221" bestFit="1" customWidth="1"/>
    <col min="15" max="15" width="6.421875" style="221" bestFit="1" customWidth="1"/>
    <col min="16" max="18" width="5.00390625" style="221" bestFit="1" customWidth="1"/>
    <col min="19" max="19" width="6.421875" style="221" bestFit="1" customWidth="1"/>
    <col min="20" max="20" width="7.421875" style="221" customWidth="1"/>
    <col min="21" max="22" width="6.00390625" style="221" bestFit="1" customWidth="1"/>
    <col min="23" max="23" width="6.421875" style="221" bestFit="1" customWidth="1"/>
    <col min="24" max="25" width="3.140625" style="221" bestFit="1" customWidth="1"/>
    <col min="26" max="26" width="4.00390625" style="221" bestFit="1" customWidth="1"/>
    <col min="27" max="27" width="5.421875" style="221" bestFit="1" customWidth="1"/>
    <col min="28" max="30" width="5.00390625" style="221" bestFit="1" customWidth="1"/>
    <col min="31" max="31" width="6.421875" style="221" bestFit="1" customWidth="1"/>
    <col min="32" max="32" width="5.00390625" style="221" bestFit="1" customWidth="1"/>
    <col min="33" max="33" width="5.421875" style="221" bestFit="1" customWidth="1"/>
    <col min="34" max="34" width="4.00390625" style="221" bestFit="1" customWidth="1"/>
    <col min="35" max="35" width="6.421875" style="221" bestFit="1" customWidth="1"/>
    <col min="36" max="37" width="5.00390625" style="221" bestFit="1" customWidth="1"/>
    <col min="38" max="38" width="6.00390625" style="221" bestFit="1" customWidth="1"/>
    <col min="39" max="39" width="8.00390625" style="221" bestFit="1" customWidth="1"/>
    <col min="40" max="40" width="5.00390625" style="221" bestFit="1" customWidth="1"/>
    <col min="41" max="41" width="4.00390625" style="221" bestFit="1" customWidth="1"/>
    <col min="42" max="42" width="5.00390625" style="221" bestFit="1" customWidth="1"/>
    <col min="43" max="43" width="6.421875" style="221" bestFit="1" customWidth="1"/>
    <col min="44" max="44" width="5.00390625" style="221" bestFit="1" customWidth="1"/>
    <col min="45" max="45" width="3.140625" style="221" bestFit="1" customWidth="1"/>
    <col min="46" max="46" width="5.00390625" style="221" bestFit="1" customWidth="1"/>
    <col min="47" max="47" width="6.421875" style="221" bestFit="1" customWidth="1"/>
    <col min="48" max="48" width="17.00390625" style="221" bestFit="1" customWidth="1"/>
    <col min="49" max="49" width="20.00390625" style="221" customWidth="1"/>
    <col min="50" max="50" width="23.57421875" style="221" bestFit="1" customWidth="1"/>
    <col min="51" max="51" width="9.7109375" style="221" bestFit="1" customWidth="1"/>
    <col min="52" max="52" width="55.140625" style="221" bestFit="1" customWidth="1"/>
    <col min="53" max="16384" width="9.140625" style="425" customWidth="1"/>
  </cols>
  <sheetData>
    <row r="1" spans="1:52" s="476" customFormat="1" ht="15.75" thickBot="1">
      <c r="A1" s="1072" t="s">
        <v>18</v>
      </c>
      <c r="B1" s="1073"/>
      <c r="C1" s="1073"/>
      <c r="D1" s="1073"/>
      <c r="E1" s="1073"/>
      <c r="F1" s="1073"/>
      <c r="G1" s="1073"/>
      <c r="H1" s="1073"/>
      <c r="I1" s="1073"/>
      <c r="J1" s="1073"/>
      <c r="K1" s="1073"/>
      <c r="L1" s="1073"/>
      <c r="M1" s="1073"/>
      <c r="N1" s="1073"/>
      <c r="O1" s="1073"/>
      <c r="P1" s="1073"/>
      <c r="Q1" s="1073"/>
      <c r="R1" s="1073"/>
      <c r="S1" s="1073"/>
      <c r="T1" s="1073"/>
      <c r="U1" s="1073"/>
      <c r="V1" s="1073"/>
      <c r="W1" s="1073"/>
      <c r="X1" s="1073"/>
      <c r="Y1" s="1073"/>
      <c r="Z1" s="1073"/>
      <c r="AA1" s="1073"/>
      <c r="AB1" s="1073"/>
      <c r="AC1" s="1073"/>
      <c r="AD1" s="1073"/>
      <c r="AE1" s="1073"/>
      <c r="AF1" s="1073"/>
      <c r="AG1" s="1073"/>
      <c r="AH1" s="1073"/>
      <c r="AI1" s="1073"/>
      <c r="AJ1" s="1073"/>
      <c r="AK1" s="1073"/>
      <c r="AL1" s="1073"/>
      <c r="AM1" s="1073"/>
      <c r="AN1" s="1073"/>
      <c r="AO1" s="1073"/>
      <c r="AP1" s="1073"/>
      <c r="AQ1" s="1073"/>
      <c r="AR1" s="1073"/>
      <c r="AS1" s="1073"/>
      <c r="AT1" s="1073"/>
      <c r="AU1" s="1073"/>
      <c r="AV1" s="1073"/>
      <c r="AW1" s="1073"/>
      <c r="AX1" s="1073"/>
      <c r="AY1" s="1073"/>
      <c r="AZ1" s="1074"/>
    </row>
    <row r="2" spans="1:52" s="476" customFormat="1" ht="15.75" thickBot="1">
      <c r="A2" s="1075" t="s">
        <v>550</v>
      </c>
      <c r="B2" s="1076"/>
      <c r="C2" s="1076"/>
      <c r="D2" s="1076"/>
      <c r="E2" s="1076"/>
      <c r="F2" s="1076"/>
      <c r="G2" s="1076"/>
      <c r="H2" s="1076"/>
      <c r="I2" s="1076"/>
      <c r="J2" s="1076"/>
      <c r="K2" s="1076"/>
      <c r="L2" s="1076"/>
      <c r="M2" s="1076"/>
      <c r="N2" s="1076"/>
      <c r="O2" s="1076"/>
      <c r="P2" s="1076"/>
      <c r="Q2" s="1076"/>
      <c r="R2" s="1076"/>
      <c r="S2" s="1076"/>
      <c r="T2" s="1076"/>
      <c r="U2" s="1076"/>
      <c r="V2" s="1076"/>
      <c r="W2" s="1076"/>
      <c r="X2" s="1076"/>
      <c r="Y2" s="1076"/>
      <c r="Z2" s="1076"/>
      <c r="AA2" s="1076"/>
      <c r="AB2" s="1076"/>
      <c r="AC2" s="1076"/>
      <c r="AD2" s="1076"/>
      <c r="AE2" s="1076"/>
      <c r="AF2" s="1076"/>
      <c r="AG2" s="1076"/>
      <c r="AH2" s="1076"/>
      <c r="AI2" s="1076"/>
      <c r="AJ2" s="1076"/>
      <c r="AK2" s="1076"/>
      <c r="AL2" s="1076"/>
      <c r="AM2" s="1076"/>
      <c r="AN2" s="1076"/>
      <c r="AO2" s="1076"/>
      <c r="AP2" s="1076"/>
      <c r="AQ2" s="1076"/>
      <c r="AR2" s="1076"/>
      <c r="AS2" s="1076"/>
      <c r="AT2" s="1076"/>
      <c r="AU2" s="1076"/>
      <c r="AV2" s="1076"/>
      <c r="AW2" s="1076"/>
      <c r="AX2" s="1076"/>
      <c r="AY2" s="1076"/>
      <c r="AZ2" s="1077"/>
    </row>
    <row r="3" spans="1:52" s="476" customFormat="1" ht="15.75" thickBot="1">
      <c r="A3" s="1078"/>
      <c r="B3" s="1079"/>
      <c r="C3" s="1080"/>
      <c r="D3" s="1078" t="s">
        <v>988</v>
      </c>
      <c r="E3" s="1079"/>
      <c r="F3" s="1079"/>
      <c r="G3" s="1080"/>
      <c r="H3" s="1078" t="s">
        <v>989</v>
      </c>
      <c r="I3" s="1079"/>
      <c r="J3" s="1079"/>
      <c r="K3" s="1080"/>
      <c r="L3" s="1078" t="s">
        <v>990</v>
      </c>
      <c r="M3" s="1079"/>
      <c r="N3" s="1079"/>
      <c r="O3" s="1080"/>
      <c r="P3" s="1078" t="s">
        <v>991</v>
      </c>
      <c r="Q3" s="1079"/>
      <c r="R3" s="1079"/>
      <c r="S3" s="1080"/>
      <c r="T3" s="1078" t="s">
        <v>992</v>
      </c>
      <c r="U3" s="1079"/>
      <c r="V3" s="1079"/>
      <c r="W3" s="1080"/>
      <c r="X3" s="1078" t="s">
        <v>993</v>
      </c>
      <c r="Y3" s="1079"/>
      <c r="Z3" s="1079"/>
      <c r="AA3" s="1080"/>
      <c r="AB3" s="1078" t="s">
        <v>994</v>
      </c>
      <c r="AC3" s="1079"/>
      <c r="AD3" s="1079"/>
      <c r="AE3" s="1080"/>
      <c r="AF3" s="1078" t="s">
        <v>995</v>
      </c>
      <c r="AG3" s="1079"/>
      <c r="AH3" s="1079"/>
      <c r="AI3" s="1080"/>
      <c r="AJ3" s="1078" t="s">
        <v>996</v>
      </c>
      <c r="AK3" s="1079"/>
      <c r="AL3" s="1079"/>
      <c r="AM3" s="1080"/>
      <c r="AN3" s="1078" t="s">
        <v>997</v>
      </c>
      <c r="AO3" s="1079"/>
      <c r="AP3" s="1079"/>
      <c r="AQ3" s="1080"/>
      <c r="AR3" s="1078" t="s">
        <v>998</v>
      </c>
      <c r="AS3" s="1079"/>
      <c r="AT3" s="1079"/>
      <c r="AU3" s="1080"/>
      <c r="AV3" s="1078"/>
      <c r="AW3" s="1079"/>
      <c r="AX3" s="1079"/>
      <c r="AY3" s="1080"/>
      <c r="AZ3" s="477"/>
    </row>
    <row r="4" spans="1:52" s="476" customFormat="1" ht="15">
      <c r="A4" s="1081" t="s">
        <v>116</v>
      </c>
      <c r="B4" s="1083" t="s">
        <v>19</v>
      </c>
      <c r="C4" s="1083" t="s">
        <v>20</v>
      </c>
      <c r="D4" s="1085" t="s">
        <v>112</v>
      </c>
      <c r="E4" s="1086"/>
      <c r="F4" s="1085" t="s">
        <v>113</v>
      </c>
      <c r="G4" s="1086"/>
      <c r="H4" s="1085" t="s">
        <v>112</v>
      </c>
      <c r="I4" s="1086"/>
      <c r="J4" s="1085" t="s">
        <v>113</v>
      </c>
      <c r="K4" s="1086"/>
      <c r="L4" s="1085" t="s">
        <v>112</v>
      </c>
      <c r="M4" s="1086"/>
      <c r="N4" s="1085" t="s">
        <v>113</v>
      </c>
      <c r="O4" s="1086"/>
      <c r="P4" s="1085" t="s">
        <v>112</v>
      </c>
      <c r="Q4" s="1086"/>
      <c r="R4" s="1085" t="s">
        <v>113</v>
      </c>
      <c r="S4" s="1086"/>
      <c r="T4" s="1085" t="s">
        <v>112</v>
      </c>
      <c r="U4" s="1086"/>
      <c r="V4" s="1085" t="s">
        <v>113</v>
      </c>
      <c r="W4" s="1086"/>
      <c r="X4" s="1085" t="s">
        <v>112</v>
      </c>
      <c r="Y4" s="1086"/>
      <c r="Z4" s="1085" t="s">
        <v>113</v>
      </c>
      <c r="AA4" s="1086"/>
      <c r="AB4" s="1085" t="s">
        <v>112</v>
      </c>
      <c r="AC4" s="1086"/>
      <c r="AD4" s="1085" t="s">
        <v>113</v>
      </c>
      <c r="AE4" s="1086"/>
      <c r="AF4" s="1085" t="s">
        <v>112</v>
      </c>
      <c r="AG4" s="1086"/>
      <c r="AH4" s="1085" t="s">
        <v>113</v>
      </c>
      <c r="AI4" s="1086"/>
      <c r="AJ4" s="1085" t="s">
        <v>112</v>
      </c>
      <c r="AK4" s="1086"/>
      <c r="AL4" s="1085" t="s">
        <v>113</v>
      </c>
      <c r="AM4" s="1086"/>
      <c r="AN4" s="1085" t="s">
        <v>112</v>
      </c>
      <c r="AO4" s="1086"/>
      <c r="AP4" s="1085" t="s">
        <v>113</v>
      </c>
      <c r="AQ4" s="1086"/>
      <c r="AR4" s="1085" t="s">
        <v>112</v>
      </c>
      <c r="AS4" s="1086"/>
      <c r="AT4" s="1085" t="s">
        <v>113</v>
      </c>
      <c r="AU4" s="1086"/>
      <c r="AV4" s="1091" t="s">
        <v>4</v>
      </c>
      <c r="AW4" s="1091" t="s">
        <v>855</v>
      </c>
      <c r="AX4" s="1091" t="s">
        <v>21</v>
      </c>
      <c r="AY4" s="1087" t="s">
        <v>83</v>
      </c>
      <c r="AZ4" s="1096" t="s">
        <v>84</v>
      </c>
    </row>
    <row r="5" spans="1:52" s="476" customFormat="1" ht="95.25" customHeight="1" thickBot="1">
      <c r="A5" s="1082"/>
      <c r="B5" s="1084"/>
      <c r="C5" s="1084"/>
      <c r="D5" s="29" t="s">
        <v>6</v>
      </c>
      <c r="E5" s="29" t="s">
        <v>7</v>
      </c>
      <c r="F5" s="29" t="s">
        <v>6</v>
      </c>
      <c r="G5" s="29" t="s">
        <v>96</v>
      </c>
      <c r="H5" s="29" t="s">
        <v>6</v>
      </c>
      <c r="I5" s="29" t="s">
        <v>7</v>
      </c>
      <c r="J5" s="29" t="s">
        <v>6</v>
      </c>
      <c r="K5" s="29" t="s">
        <v>96</v>
      </c>
      <c r="L5" s="29" t="s">
        <v>6</v>
      </c>
      <c r="M5" s="29" t="s">
        <v>7</v>
      </c>
      <c r="N5" s="29" t="s">
        <v>6</v>
      </c>
      <c r="O5" s="29" t="s">
        <v>96</v>
      </c>
      <c r="P5" s="29" t="s">
        <v>6</v>
      </c>
      <c r="Q5" s="29" t="s">
        <v>7</v>
      </c>
      <c r="R5" s="29" t="s">
        <v>6</v>
      </c>
      <c r="S5" s="29" t="s">
        <v>96</v>
      </c>
      <c r="T5" s="29" t="s">
        <v>6</v>
      </c>
      <c r="U5" s="29" t="s">
        <v>7</v>
      </c>
      <c r="V5" s="29" t="s">
        <v>6</v>
      </c>
      <c r="W5" s="29" t="s">
        <v>96</v>
      </c>
      <c r="X5" s="29" t="s">
        <v>6</v>
      </c>
      <c r="Y5" s="29" t="s">
        <v>7</v>
      </c>
      <c r="Z5" s="29" t="s">
        <v>6</v>
      </c>
      <c r="AA5" s="29" t="s">
        <v>96</v>
      </c>
      <c r="AB5" s="29" t="s">
        <v>6</v>
      </c>
      <c r="AC5" s="29" t="s">
        <v>7</v>
      </c>
      <c r="AD5" s="29" t="s">
        <v>6</v>
      </c>
      <c r="AE5" s="29" t="s">
        <v>96</v>
      </c>
      <c r="AF5" s="29" t="s">
        <v>6</v>
      </c>
      <c r="AG5" s="29" t="s">
        <v>7</v>
      </c>
      <c r="AH5" s="29" t="s">
        <v>6</v>
      </c>
      <c r="AI5" s="29" t="s">
        <v>96</v>
      </c>
      <c r="AJ5" s="29" t="s">
        <v>6</v>
      </c>
      <c r="AK5" s="29" t="s">
        <v>7</v>
      </c>
      <c r="AL5" s="29" t="s">
        <v>6</v>
      </c>
      <c r="AM5" s="29" t="s">
        <v>96</v>
      </c>
      <c r="AN5" s="29" t="s">
        <v>6</v>
      </c>
      <c r="AO5" s="29" t="s">
        <v>7</v>
      </c>
      <c r="AP5" s="29" t="s">
        <v>6</v>
      </c>
      <c r="AQ5" s="29" t="s">
        <v>96</v>
      </c>
      <c r="AR5" s="29" t="s">
        <v>6</v>
      </c>
      <c r="AS5" s="29" t="s">
        <v>7</v>
      </c>
      <c r="AT5" s="29" t="s">
        <v>6</v>
      </c>
      <c r="AU5" s="29" t="s">
        <v>96</v>
      </c>
      <c r="AV5" s="1092"/>
      <c r="AW5" s="1092"/>
      <c r="AX5" s="1092"/>
      <c r="AY5" s="1088"/>
      <c r="AZ5" s="1097"/>
    </row>
    <row r="6" spans="1:52" s="489" customFormat="1" ht="15">
      <c r="A6" s="478" t="s">
        <v>857</v>
      </c>
      <c r="B6" s="427" t="s">
        <v>999</v>
      </c>
      <c r="C6" s="446" t="s">
        <v>675</v>
      </c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80"/>
      <c r="U6" s="480"/>
      <c r="V6" s="480"/>
      <c r="W6" s="480"/>
      <c r="X6" s="481"/>
      <c r="Y6" s="481"/>
      <c r="Z6" s="482"/>
      <c r="AA6" s="481"/>
      <c r="AB6" s="481"/>
      <c r="AC6" s="481"/>
      <c r="AD6" s="481"/>
      <c r="AE6" s="481"/>
      <c r="AF6" s="442">
        <f>4*4</f>
        <v>16</v>
      </c>
      <c r="AG6" s="431">
        <v>9</v>
      </c>
      <c r="AH6" s="483" t="s">
        <v>897</v>
      </c>
      <c r="AI6" s="442">
        <v>6.5</v>
      </c>
      <c r="AJ6" s="433"/>
      <c r="AK6" s="484"/>
      <c r="AL6" s="484"/>
      <c r="AM6" s="484"/>
      <c r="AN6" s="485"/>
      <c r="AO6" s="54"/>
      <c r="AP6" s="442">
        <v>8</v>
      </c>
      <c r="AQ6" s="442">
        <v>8.54</v>
      </c>
      <c r="AR6" s="486"/>
      <c r="AS6" s="486"/>
      <c r="AT6" s="486"/>
      <c r="AU6" s="486"/>
      <c r="AV6" s="487" t="s">
        <v>45</v>
      </c>
      <c r="AW6" s="488">
        <v>10</v>
      </c>
      <c r="AX6" s="442"/>
      <c r="AY6" s="442" t="s">
        <v>306</v>
      </c>
      <c r="AZ6" s="451" t="s">
        <v>306</v>
      </c>
    </row>
    <row r="7" spans="1:52" s="489" customFormat="1" ht="15">
      <c r="A7" s="458" t="s">
        <v>1000</v>
      </c>
      <c r="B7" s="427" t="s">
        <v>1001</v>
      </c>
      <c r="C7" s="446" t="s">
        <v>675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>
        <v>90</v>
      </c>
      <c r="Q7" s="72">
        <v>109</v>
      </c>
      <c r="R7" s="72">
        <f>3*30</f>
        <v>90</v>
      </c>
      <c r="S7" s="72">
        <v>2.09</v>
      </c>
      <c r="T7" s="480"/>
      <c r="U7" s="480"/>
      <c r="V7" s="480"/>
      <c r="W7" s="480"/>
      <c r="X7" s="481"/>
      <c r="Y7" s="481"/>
      <c r="Z7" s="482"/>
      <c r="AA7" s="481"/>
      <c r="AB7" s="481"/>
      <c r="AC7" s="481"/>
      <c r="AD7" s="481"/>
      <c r="AE7" s="481"/>
      <c r="AF7" s="442"/>
      <c r="AG7" s="431"/>
      <c r="AH7" s="483"/>
      <c r="AI7" s="442"/>
      <c r="AJ7" s="442">
        <v>32</v>
      </c>
      <c r="AK7" s="442">
        <v>31</v>
      </c>
      <c r="AL7" s="484"/>
      <c r="AM7" s="484"/>
      <c r="AN7" s="442"/>
      <c r="AO7" s="54"/>
      <c r="AP7" s="442">
        <v>4</v>
      </c>
      <c r="AQ7" s="442">
        <v>2.5</v>
      </c>
      <c r="AR7" s="486"/>
      <c r="AS7" s="486"/>
      <c r="AT7" s="486"/>
      <c r="AU7" s="486"/>
      <c r="AV7" s="431" t="s">
        <v>1002</v>
      </c>
      <c r="AW7" s="488">
        <v>30</v>
      </c>
      <c r="AX7" s="442" t="s">
        <v>686</v>
      </c>
      <c r="AY7" s="442"/>
      <c r="AZ7" s="451" t="s">
        <v>306</v>
      </c>
    </row>
    <row r="8" spans="1:52" s="489" customFormat="1" ht="15">
      <c r="A8" s="434" t="s">
        <v>680</v>
      </c>
      <c r="B8" s="427" t="s">
        <v>29</v>
      </c>
      <c r="C8" s="431" t="s">
        <v>675</v>
      </c>
      <c r="D8" s="72"/>
      <c r="E8" s="72"/>
      <c r="F8" s="72"/>
      <c r="G8" s="72"/>
      <c r="H8" s="72"/>
      <c r="I8" s="72"/>
      <c r="J8" s="72"/>
      <c r="K8" s="72"/>
      <c r="L8" s="54">
        <v>25</v>
      </c>
      <c r="M8" s="54">
        <v>22</v>
      </c>
      <c r="N8" s="54">
        <v>25</v>
      </c>
      <c r="O8" s="54">
        <v>0.35</v>
      </c>
      <c r="P8" s="72">
        <v>900</v>
      </c>
      <c r="Q8" s="72">
        <v>700</v>
      </c>
      <c r="R8" s="72">
        <v>840</v>
      </c>
      <c r="S8" s="72">
        <v>17.78</v>
      </c>
      <c r="T8" s="431"/>
      <c r="U8" s="431"/>
      <c r="V8" s="431"/>
      <c r="W8" s="431"/>
      <c r="X8" s="437"/>
      <c r="Y8" s="437"/>
      <c r="Z8" s="437"/>
      <c r="AA8" s="437"/>
      <c r="AB8" s="490">
        <v>20</v>
      </c>
      <c r="AC8" s="491">
        <v>10</v>
      </c>
      <c r="AD8" s="490">
        <v>20</v>
      </c>
      <c r="AE8" s="491">
        <v>0.34</v>
      </c>
      <c r="AF8" s="437"/>
      <c r="AG8" s="437"/>
      <c r="AH8" s="437"/>
      <c r="AI8" s="437"/>
      <c r="AJ8" s="442"/>
      <c r="AK8" s="442"/>
      <c r="AL8" s="437"/>
      <c r="AM8" s="437"/>
      <c r="AN8" s="442"/>
      <c r="AO8" s="54"/>
      <c r="AP8" s="442">
        <v>60</v>
      </c>
      <c r="AQ8" s="442">
        <v>2.6</v>
      </c>
      <c r="AR8" s="437"/>
      <c r="AS8" s="437"/>
      <c r="AT8" s="437"/>
      <c r="AU8" s="437"/>
      <c r="AV8" s="431" t="s">
        <v>524</v>
      </c>
      <c r="AW8" s="431">
        <v>30</v>
      </c>
      <c r="AX8" s="431" t="s">
        <v>280</v>
      </c>
      <c r="AY8" s="431" t="s">
        <v>306</v>
      </c>
      <c r="AZ8" s="432" t="s">
        <v>306</v>
      </c>
    </row>
    <row r="9" spans="1:52" s="489" customFormat="1" ht="15">
      <c r="A9" s="434" t="s">
        <v>673</v>
      </c>
      <c r="B9" s="427" t="s">
        <v>674</v>
      </c>
      <c r="C9" s="446" t="s">
        <v>675</v>
      </c>
      <c r="D9" s="431">
        <v>30</v>
      </c>
      <c r="E9" s="431">
        <v>73</v>
      </c>
      <c r="F9" s="431">
        <v>60</v>
      </c>
      <c r="G9" s="431">
        <v>2.25</v>
      </c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92">
        <v>50</v>
      </c>
      <c r="Y9" s="492">
        <v>0</v>
      </c>
      <c r="Z9" s="493">
        <v>5</v>
      </c>
      <c r="AA9" s="492">
        <v>0.25</v>
      </c>
      <c r="AB9" s="66"/>
      <c r="AC9" s="431"/>
      <c r="AD9" s="66">
        <v>40</v>
      </c>
      <c r="AE9" s="431">
        <v>1.2</v>
      </c>
      <c r="AF9" s="492"/>
      <c r="AG9" s="492"/>
      <c r="AH9" s="492"/>
      <c r="AI9" s="492"/>
      <c r="AJ9" s="492"/>
      <c r="AK9" s="492"/>
      <c r="AL9" s="492"/>
      <c r="AM9" s="492"/>
      <c r="AN9" s="442">
        <v>60</v>
      </c>
      <c r="AO9" s="442"/>
      <c r="AP9" s="442">
        <v>60</v>
      </c>
      <c r="AQ9" s="442">
        <v>3.8</v>
      </c>
      <c r="AR9" s="53"/>
      <c r="AS9" s="53"/>
      <c r="AT9" s="53"/>
      <c r="AU9" s="53"/>
      <c r="AV9" s="430" t="s">
        <v>677</v>
      </c>
      <c r="AW9" s="430" t="s">
        <v>1003</v>
      </c>
      <c r="AX9" s="431" t="s">
        <v>678</v>
      </c>
      <c r="AY9" s="460" t="s">
        <v>306</v>
      </c>
      <c r="AZ9" s="494" t="s">
        <v>306</v>
      </c>
    </row>
    <row r="10" spans="1:52" s="489" customFormat="1" ht="28.5">
      <c r="A10" s="426" t="s">
        <v>768</v>
      </c>
      <c r="B10" s="427" t="s">
        <v>769</v>
      </c>
      <c r="C10" s="446" t="s">
        <v>675</v>
      </c>
      <c r="D10" s="442">
        <v>30</v>
      </c>
      <c r="E10" s="431">
        <v>0</v>
      </c>
      <c r="F10" s="442">
        <v>30</v>
      </c>
      <c r="G10" s="442">
        <v>0.9</v>
      </c>
      <c r="H10" s="446"/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46"/>
      <c r="T10" s="446"/>
      <c r="U10" s="446"/>
      <c r="V10" s="446"/>
      <c r="W10" s="446"/>
      <c r="X10" s="431"/>
      <c r="Y10" s="431"/>
      <c r="Z10" s="431"/>
      <c r="AA10" s="431"/>
      <c r="AB10" s="66">
        <v>25</v>
      </c>
      <c r="AC10" s="431">
        <v>56</v>
      </c>
      <c r="AD10" s="66">
        <v>50</v>
      </c>
      <c r="AE10" s="431">
        <v>2.44</v>
      </c>
      <c r="AF10" s="431"/>
      <c r="AG10" s="431"/>
      <c r="AH10" s="431"/>
      <c r="AI10" s="431"/>
      <c r="AJ10" s="431"/>
      <c r="AK10" s="431"/>
      <c r="AL10" s="431"/>
      <c r="AM10" s="431"/>
      <c r="AN10" s="442"/>
      <c r="AO10" s="431"/>
      <c r="AP10" s="442">
        <v>30</v>
      </c>
      <c r="AQ10" s="442">
        <v>0.9</v>
      </c>
      <c r="AR10" s="431">
        <v>75</v>
      </c>
      <c r="AS10" s="431">
        <v>0</v>
      </c>
      <c r="AT10" s="431">
        <v>75</v>
      </c>
      <c r="AU10" s="431">
        <v>0.9</v>
      </c>
      <c r="AV10" s="430" t="s">
        <v>15</v>
      </c>
      <c r="AW10" s="430"/>
      <c r="AX10" s="431" t="s">
        <v>770</v>
      </c>
      <c r="AY10" s="431" t="s">
        <v>306</v>
      </c>
      <c r="AZ10" s="432" t="s">
        <v>771</v>
      </c>
    </row>
    <row r="11" spans="1:52" s="489" customFormat="1" ht="85.5">
      <c r="A11" s="495" t="s">
        <v>774</v>
      </c>
      <c r="B11" s="435" t="s">
        <v>1004</v>
      </c>
      <c r="C11" s="445" t="s">
        <v>893</v>
      </c>
      <c r="D11" s="445"/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96">
        <v>1950</v>
      </c>
      <c r="U11" s="496">
        <v>1408</v>
      </c>
      <c r="V11" s="497">
        <v>1500</v>
      </c>
      <c r="W11" s="498">
        <v>77.5</v>
      </c>
      <c r="X11" s="431"/>
      <c r="Y11" s="431"/>
      <c r="Z11" s="431"/>
      <c r="AA11" s="431"/>
      <c r="AB11" s="66">
        <v>150</v>
      </c>
      <c r="AC11" s="431">
        <v>0</v>
      </c>
      <c r="AD11" s="431"/>
      <c r="AE11" s="431"/>
      <c r="AF11" s="442">
        <v>600</v>
      </c>
      <c r="AG11" s="431">
        <v>468</v>
      </c>
      <c r="AH11" s="442">
        <v>350</v>
      </c>
      <c r="AI11" s="442">
        <v>11.03</v>
      </c>
      <c r="AJ11" s="442">
        <v>1200</v>
      </c>
      <c r="AK11" s="442">
        <v>339</v>
      </c>
      <c r="AL11" s="442">
        <v>690</v>
      </c>
      <c r="AM11" s="442" t="s">
        <v>1005</v>
      </c>
      <c r="AN11" s="442"/>
      <c r="AO11" s="442"/>
      <c r="AP11" s="442"/>
      <c r="AQ11" s="442"/>
      <c r="AR11" s="431">
        <v>300</v>
      </c>
      <c r="AS11" s="431">
        <v>0</v>
      </c>
      <c r="AT11" s="431">
        <v>180</v>
      </c>
      <c r="AU11" s="431">
        <v>4.97</v>
      </c>
      <c r="AV11" s="447" t="s">
        <v>81</v>
      </c>
      <c r="AW11" s="447" t="s">
        <v>861</v>
      </c>
      <c r="AX11" s="431" t="s">
        <v>775</v>
      </c>
      <c r="AY11" s="431" t="s">
        <v>548</v>
      </c>
      <c r="AZ11" s="432" t="s">
        <v>776</v>
      </c>
    </row>
    <row r="12" spans="1:52" s="489" customFormat="1" ht="42.75">
      <c r="A12" s="438" t="s">
        <v>136</v>
      </c>
      <c r="B12" s="435" t="s">
        <v>772</v>
      </c>
      <c r="C12" s="1089" t="s">
        <v>97</v>
      </c>
      <c r="D12" s="445"/>
      <c r="E12" s="445"/>
      <c r="F12" s="445"/>
      <c r="G12" s="445"/>
      <c r="H12" s="445"/>
      <c r="I12" s="445"/>
      <c r="J12" s="445"/>
      <c r="K12" s="445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31"/>
      <c r="Y12" s="431"/>
      <c r="Z12" s="431"/>
      <c r="AA12" s="431"/>
      <c r="AB12" s="431"/>
      <c r="AC12" s="431"/>
      <c r="AD12" s="431"/>
      <c r="AE12" s="431"/>
      <c r="AF12" s="431">
        <v>66</v>
      </c>
      <c r="AG12" s="431">
        <v>27</v>
      </c>
      <c r="AH12" s="431"/>
      <c r="AI12" s="431"/>
      <c r="AJ12" s="431"/>
      <c r="AK12" s="431"/>
      <c r="AL12" s="431"/>
      <c r="AM12" s="431"/>
      <c r="AN12" s="431"/>
      <c r="AO12" s="431"/>
      <c r="AP12" s="431"/>
      <c r="AQ12" s="431"/>
      <c r="AR12" s="431"/>
      <c r="AS12" s="431"/>
      <c r="AT12" s="431"/>
      <c r="AU12" s="431"/>
      <c r="AV12" s="431" t="s">
        <v>12</v>
      </c>
      <c r="AW12" s="431">
        <v>8</v>
      </c>
      <c r="AX12" s="431" t="s">
        <v>773</v>
      </c>
      <c r="AY12" s="431" t="s">
        <v>548</v>
      </c>
      <c r="AZ12" s="432" t="s">
        <v>773</v>
      </c>
    </row>
    <row r="13" spans="1:52" s="500" customFormat="1" ht="28.5">
      <c r="A13" s="438" t="s">
        <v>133</v>
      </c>
      <c r="B13" s="435" t="s">
        <v>25</v>
      </c>
      <c r="C13" s="1098"/>
      <c r="D13" s="54">
        <v>240</v>
      </c>
      <c r="E13" s="54">
        <v>50</v>
      </c>
      <c r="F13" s="54">
        <v>200</v>
      </c>
      <c r="G13" s="54">
        <v>27.68</v>
      </c>
      <c r="H13" s="445">
        <v>0</v>
      </c>
      <c r="I13" s="445">
        <v>0</v>
      </c>
      <c r="J13" s="445">
        <v>2</v>
      </c>
      <c r="K13" s="445">
        <v>1.5</v>
      </c>
      <c r="L13" s="428">
        <v>90</v>
      </c>
      <c r="M13" s="428">
        <v>81</v>
      </c>
      <c r="N13" s="428">
        <v>90</v>
      </c>
      <c r="O13" s="445">
        <v>12.6</v>
      </c>
      <c r="P13" s="445"/>
      <c r="Q13" s="445"/>
      <c r="R13" s="445"/>
      <c r="S13" s="445"/>
      <c r="T13" s="496">
        <v>252</v>
      </c>
      <c r="U13" s="496">
        <v>1081</v>
      </c>
      <c r="V13" s="497">
        <v>200</v>
      </c>
      <c r="W13" s="498">
        <v>32.05</v>
      </c>
      <c r="X13" s="431"/>
      <c r="Y13" s="431"/>
      <c r="Z13" s="492">
        <v>20</v>
      </c>
      <c r="AA13" s="492">
        <v>3</v>
      </c>
      <c r="AB13" s="66">
        <v>173</v>
      </c>
      <c r="AC13" s="431">
        <v>329</v>
      </c>
      <c r="AD13" s="66">
        <v>320</v>
      </c>
      <c r="AE13" s="431">
        <v>44.8</v>
      </c>
      <c r="AF13" s="442">
        <v>80</v>
      </c>
      <c r="AG13" s="431">
        <v>55</v>
      </c>
      <c r="AH13" s="483" t="s">
        <v>1006</v>
      </c>
      <c r="AI13" s="442">
        <v>16.56</v>
      </c>
      <c r="AJ13" s="442">
        <v>725</v>
      </c>
      <c r="AK13" s="442">
        <v>823</v>
      </c>
      <c r="AL13" s="442">
        <v>1000</v>
      </c>
      <c r="AM13" s="499">
        <v>56.7</v>
      </c>
      <c r="AN13" s="54">
        <v>150</v>
      </c>
      <c r="AO13" s="54">
        <v>29</v>
      </c>
      <c r="AP13" s="54">
        <v>100</v>
      </c>
      <c r="AQ13" s="54">
        <v>17.65</v>
      </c>
      <c r="AR13" s="431">
        <v>50</v>
      </c>
      <c r="AS13" s="431">
        <v>0</v>
      </c>
      <c r="AT13" s="431">
        <v>25</v>
      </c>
      <c r="AU13" s="431">
        <v>5</v>
      </c>
      <c r="AV13" s="430" t="s">
        <v>269</v>
      </c>
      <c r="AW13" s="430" t="s">
        <v>931</v>
      </c>
      <c r="AX13" s="431" t="s">
        <v>149</v>
      </c>
      <c r="AY13" s="431" t="s">
        <v>306</v>
      </c>
      <c r="AZ13" s="432" t="s">
        <v>268</v>
      </c>
    </row>
    <row r="14" spans="1:52" s="500" customFormat="1" ht="15">
      <c r="A14" s="444" t="s">
        <v>128</v>
      </c>
      <c r="B14" s="435" t="s">
        <v>24</v>
      </c>
      <c r="C14" s="1098"/>
      <c r="D14" s="445"/>
      <c r="E14" s="445"/>
      <c r="F14" s="445"/>
      <c r="G14" s="445"/>
      <c r="H14" s="445"/>
      <c r="I14" s="445"/>
      <c r="J14" s="445"/>
      <c r="K14" s="445"/>
      <c r="L14" s="442">
        <v>8</v>
      </c>
      <c r="M14" s="442">
        <v>10</v>
      </c>
      <c r="N14" s="442">
        <v>8</v>
      </c>
      <c r="O14" s="445">
        <v>4.77</v>
      </c>
      <c r="P14" s="445">
        <v>16</v>
      </c>
      <c r="Q14" s="445">
        <v>14</v>
      </c>
      <c r="R14" s="445">
        <v>16</v>
      </c>
      <c r="S14" s="445">
        <v>17.3</v>
      </c>
      <c r="T14" s="445"/>
      <c r="U14" s="445"/>
      <c r="V14" s="445"/>
      <c r="W14" s="445"/>
      <c r="X14" s="431"/>
      <c r="Y14" s="431"/>
      <c r="Z14" s="431"/>
      <c r="AA14" s="431"/>
      <c r="AB14" s="66">
        <v>27</v>
      </c>
      <c r="AC14" s="431">
        <v>15</v>
      </c>
      <c r="AD14" s="66">
        <v>16</v>
      </c>
      <c r="AE14" s="431">
        <v>12</v>
      </c>
      <c r="AF14" s="431">
        <v>24</v>
      </c>
      <c r="AG14" s="431">
        <v>22</v>
      </c>
      <c r="AH14" s="483" t="s">
        <v>1007</v>
      </c>
      <c r="AI14" s="442">
        <v>51.03</v>
      </c>
      <c r="AJ14" s="442"/>
      <c r="AK14" s="442"/>
      <c r="AL14" s="442"/>
      <c r="AM14" s="442"/>
      <c r="AN14" s="431">
        <v>0</v>
      </c>
      <c r="AO14" s="431"/>
      <c r="AP14" s="431">
        <v>16</v>
      </c>
      <c r="AQ14" s="431">
        <v>25.8</v>
      </c>
      <c r="AR14" s="431"/>
      <c r="AS14" s="431"/>
      <c r="AT14" s="431"/>
      <c r="AU14" s="431"/>
      <c r="AV14" s="430" t="s">
        <v>270</v>
      </c>
      <c r="AW14" s="430" t="s">
        <v>1008</v>
      </c>
      <c r="AX14" s="431" t="s">
        <v>148</v>
      </c>
      <c r="AY14" s="431" t="s">
        <v>306</v>
      </c>
      <c r="AZ14" s="432" t="s">
        <v>100</v>
      </c>
    </row>
    <row r="15" spans="1:52" s="500" customFormat="1" ht="30">
      <c r="A15" s="444" t="s">
        <v>129</v>
      </c>
      <c r="B15" s="435" t="s">
        <v>26</v>
      </c>
      <c r="C15" s="1098"/>
      <c r="D15" s="54">
        <v>16</v>
      </c>
      <c r="E15" s="54">
        <v>0</v>
      </c>
      <c r="F15" s="54">
        <v>16</v>
      </c>
      <c r="G15" s="54">
        <v>19.2</v>
      </c>
      <c r="H15" s="433"/>
      <c r="I15" s="433"/>
      <c r="J15" s="72"/>
      <c r="K15" s="72"/>
      <c r="L15" s="501">
        <v>8</v>
      </c>
      <c r="M15" s="501">
        <v>0</v>
      </c>
      <c r="N15" s="501">
        <v>8</v>
      </c>
      <c r="O15" s="501">
        <v>6</v>
      </c>
      <c r="P15" s="433">
        <v>8</v>
      </c>
      <c r="Q15" s="433">
        <v>12</v>
      </c>
      <c r="R15" s="72">
        <f>2*4</f>
        <v>8</v>
      </c>
      <c r="S15" s="72">
        <v>15.73</v>
      </c>
      <c r="T15" s="445"/>
      <c r="U15" s="445"/>
      <c r="V15" s="445"/>
      <c r="W15" s="445"/>
      <c r="X15" s="431"/>
      <c r="Y15" s="431"/>
      <c r="Z15" s="431"/>
      <c r="AA15" s="431"/>
      <c r="AB15" s="66">
        <v>24</v>
      </c>
      <c r="AC15" s="431">
        <v>22</v>
      </c>
      <c r="AD15" s="66">
        <v>16</v>
      </c>
      <c r="AE15" s="431">
        <v>16</v>
      </c>
      <c r="AF15" s="442">
        <v>48</v>
      </c>
      <c r="AG15" s="431">
        <v>16</v>
      </c>
      <c r="AH15" s="483" t="s">
        <v>1009</v>
      </c>
      <c r="AI15" s="442" t="s">
        <v>1010</v>
      </c>
      <c r="AJ15" s="442">
        <v>96</v>
      </c>
      <c r="AK15" s="442">
        <v>96</v>
      </c>
      <c r="AL15" s="442"/>
      <c r="AM15" s="442"/>
      <c r="AN15" s="54">
        <v>7</v>
      </c>
      <c r="AO15" s="54"/>
      <c r="AP15" s="54">
        <v>14</v>
      </c>
      <c r="AQ15" s="54">
        <v>14.63</v>
      </c>
      <c r="AR15" s="431">
        <v>8</v>
      </c>
      <c r="AS15" s="431">
        <v>0</v>
      </c>
      <c r="AT15" s="431">
        <v>8</v>
      </c>
      <c r="AU15" s="431">
        <v>12.34</v>
      </c>
      <c r="AV15" s="431" t="s">
        <v>271</v>
      </c>
      <c r="AW15" s="430" t="s">
        <v>1011</v>
      </c>
      <c r="AX15" s="431" t="s">
        <v>272</v>
      </c>
      <c r="AY15" s="431" t="s">
        <v>306</v>
      </c>
      <c r="AZ15" s="432" t="s">
        <v>273</v>
      </c>
    </row>
    <row r="16" spans="1:52" s="500" customFormat="1" ht="28.5">
      <c r="A16" s="444" t="s">
        <v>131</v>
      </c>
      <c r="B16" s="435" t="s">
        <v>29</v>
      </c>
      <c r="C16" s="1098"/>
      <c r="D16" s="431">
        <v>390</v>
      </c>
      <c r="E16" s="431">
        <v>159</v>
      </c>
      <c r="F16" s="431">
        <v>240</v>
      </c>
      <c r="G16" s="54">
        <v>7.2</v>
      </c>
      <c r="H16" s="502">
        <v>30</v>
      </c>
      <c r="I16" s="502">
        <v>0</v>
      </c>
      <c r="J16" s="503">
        <v>30</v>
      </c>
      <c r="K16" s="504">
        <v>0.4</v>
      </c>
      <c r="L16" s="428">
        <v>625</v>
      </c>
      <c r="M16" s="428">
        <v>194</v>
      </c>
      <c r="N16" s="428">
        <v>375</v>
      </c>
      <c r="O16" s="428">
        <v>3.22</v>
      </c>
      <c r="P16" s="505">
        <v>600</v>
      </c>
      <c r="Q16" s="505">
        <v>240</v>
      </c>
      <c r="R16" s="505">
        <v>420</v>
      </c>
      <c r="S16" s="505">
        <v>11.24</v>
      </c>
      <c r="T16" s="496">
        <v>450</v>
      </c>
      <c r="U16" s="496">
        <v>620</v>
      </c>
      <c r="V16" s="497">
        <v>1200</v>
      </c>
      <c r="W16" s="498">
        <v>32.76</v>
      </c>
      <c r="X16" s="506"/>
      <c r="Y16" s="506"/>
      <c r="Z16" s="507">
        <v>30</v>
      </c>
      <c r="AA16" s="506">
        <v>0.3</v>
      </c>
      <c r="AB16" s="433">
        <v>625</v>
      </c>
      <c r="AC16" s="442">
        <v>391</v>
      </c>
      <c r="AD16" s="433">
        <v>875</v>
      </c>
      <c r="AE16" s="442">
        <v>11.56</v>
      </c>
      <c r="AF16" s="442">
        <v>400</v>
      </c>
      <c r="AG16" s="431">
        <v>284</v>
      </c>
      <c r="AH16" s="483" t="s">
        <v>929</v>
      </c>
      <c r="AI16" s="442">
        <v>11.9</v>
      </c>
      <c r="AJ16" s="442"/>
      <c r="AK16" s="442"/>
      <c r="AL16" s="442"/>
      <c r="AM16" s="442"/>
      <c r="AN16" s="431">
        <v>240</v>
      </c>
      <c r="AO16" s="431">
        <v>128</v>
      </c>
      <c r="AP16" s="431">
        <v>360</v>
      </c>
      <c r="AQ16" s="54">
        <v>12.91</v>
      </c>
      <c r="AR16" s="431"/>
      <c r="AS16" s="431"/>
      <c r="AT16" s="431"/>
      <c r="AU16" s="431"/>
      <c r="AV16" s="431" t="s">
        <v>23</v>
      </c>
      <c r="AW16" s="431" t="s">
        <v>862</v>
      </c>
      <c r="AX16" s="431" t="s">
        <v>150</v>
      </c>
      <c r="AY16" s="431" t="s">
        <v>306</v>
      </c>
      <c r="AZ16" s="432" t="s">
        <v>275</v>
      </c>
    </row>
    <row r="17" spans="1:52" s="500" customFormat="1" ht="57">
      <c r="A17" s="444" t="s">
        <v>130</v>
      </c>
      <c r="B17" s="435" t="s">
        <v>27</v>
      </c>
      <c r="C17" s="1098"/>
      <c r="D17" s="431">
        <v>60</v>
      </c>
      <c r="E17" s="431">
        <v>0</v>
      </c>
      <c r="F17" s="431">
        <v>48</v>
      </c>
      <c r="G17" s="431">
        <v>2</v>
      </c>
      <c r="H17" s="502">
        <v>0</v>
      </c>
      <c r="I17" s="502">
        <v>0</v>
      </c>
      <c r="J17" s="503">
        <v>45</v>
      </c>
      <c r="K17" s="504">
        <v>0.6</v>
      </c>
      <c r="L17" s="501">
        <v>50</v>
      </c>
      <c r="M17" s="501">
        <v>48</v>
      </c>
      <c r="N17" s="501">
        <v>50</v>
      </c>
      <c r="O17" s="501">
        <v>3.58</v>
      </c>
      <c r="P17" s="72">
        <v>75</v>
      </c>
      <c r="Q17" s="72">
        <v>63</v>
      </c>
      <c r="R17" s="72">
        <v>48</v>
      </c>
      <c r="S17" s="72">
        <v>8.49</v>
      </c>
      <c r="T17" s="496" t="s">
        <v>1012</v>
      </c>
      <c r="U17" s="496">
        <v>62</v>
      </c>
      <c r="V17" s="497">
        <v>120</v>
      </c>
      <c r="W17" s="498">
        <v>17.56</v>
      </c>
      <c r="X17" s="507">
        <v>15</v>
      </c>
      <c r="Y17" s="507">
        <v>0</v>
      </c>
      <c r="Z17" s="507">
        <v>6</v>
      </c>
      <c r="AA17" s="506">
        <v>1.5</v>
      </c>
      <c r="AB17" s="66">
        <v>30</v>
      </c>
      <c r="AC17" s="431">
        <v>63</v>
      </c>
      <c r="AD17" s="66">
        <v>60</v>
      </c>
      <c r="AE17" s="431">
        <v>20.52</v>
      </c>
      <c r="AF17" s="442">
        <v>33</v>
      </c>
      <c r="AG17" s="431">
        <v>22</v>
      </c>
      <c r="AH17" s="483" t="s">
        <v>1013</v>
      </c>
      <c r="AI17" s="442">
        <v>6.83</v>
      </c>
      <c r="AJ17" s="442"/>
      <c r="AK17" s="442"/>
      <c r="AL17" s="442"/>
      <c r="AM17" s="442"/>
      <c r="AN17" s="431">
        <v>2</v>
      </c>
      <c r="AO17" s="431"/>
      <c r="AP17" s="431">
        <v>80</v>
      </c>
      <c r="AQ17" s="431">
        <v>10</v>
      </c>
      <c r="AR17" s="431">
        <v>240</v>
      </c>
      <c r="AS17" s="431">
        <v>0</v>
      </c>
      <c r="AT17" s="431">
        <v>320</v>
      </c>
      <c r="AU17" s="431">
        <v>48.11</v>
      </c>
      <c r="AV17" s="431" t="s">
        <v>698</v>
      </c>
      <c r="AW17" s="431" t="s">
        <v>1014</v>
      </c>
      <c r="AX17" s="431" t="s">
        <v>276</v>
      </c>
      <c r="AY17" s="431" t="s">
        <v>306</v>
      </c>
      <c r="AZ17" s="432" t="s">
        <v>107</v>
      </c>
    </row>
    <row r="18" spans="1:52" s="500" customFormat="1" ht="28.5">
      <c r="A18" s="444" t="s">
        <v>635</v>
      </c>
      <c r="B18" s="435" t="s">
        <v>636</v>
      </c>
      <c r="C18" s="1090"/>
      <c r="D18" s="433"/>
      <c r="E18" s="433"/>
      <c r="F18" s="433"/>
      <c r="G18" s="504"/>
      <c r="H18" s="503">
        <v>60</v>
      </c>
      <c r="I18" s="503">
        <v>60</v>
      </c>
      <c r="J18" s="503">
        <v>45</v>
      </c>
      <c r="K18" s="504">
        <v>0.6</v>
      </c>
      <c r="L18" s="504"/>
      <c r="M18" s="504"/>
      <c r="N18" s="504"/>
      <c r="O18" s="504"/>
      <c r="P18" s="72">
        <v>1740</v>
      </c>
      <c r="Q18" s="72">
        <v>1398</v>
      </c>
      <c r="R18" s="72">
        <v>1470</v>
      </c>
      <c r="S18" s="72">
        <v>12.99</v>
      </c>
      <c r="T18" s="445"/>
      <c r="U18" s="445"/>
      <c r="V18" s="445"/>
      <c r="W18" s="445"/>
      <c r="X18" s="506"/>
      <c r="Y18" s="506"/>
      <c r="Z18" s="508">
        <v>150</v>
      </c>
      <c r="AA18" s="506">
        <v>17.85</v>
      </c>
      <c r="AB18" s="66">
        <v>261</v>
      </c>
      <c r="AC18" s="431">
        <v>267</v>
      </c>
      <c r="AD18" s="66">
        <v>500</v>
      </c>
      <c r="AE18" s="431">
        <v>26.4</v>
      </c>
      <c r="AF18" s="442">
        <v>100</v>
      </c>
      <c r="AG18" s="431" t="s">
        <v>1015</v>
      </c>
      <c r="AH18" s="483" t="s">
        <v>1016</v>
      </c>
      <c r="AI18" s="442">
        <v>8.81</v>
      </c>
      <c r="AJ18" s="442"/>
      <c r="AK18" s="442"/>
      <c r="AL18" s="442">
        <v>5850</v>
      </c>
      <c r="AM18" s="499">
        <v>26.33</v>
      </c>
      <c r="AN18" s="442"/>
      <c r="AO18" s="442"/>
      <c r="AP18" s="442"/>
      <c r="AQ18" s="442"/>
      <c r="AR18" s="431"/>
      <c r="AS18" s="431"/>
      <c r="AT18" s="431"/>
      <c r="AU18" s="431"/>
      <c r="AV18" s="431" t="s">
        <v>333</v>
      </c>
      <c r="AW18" s="431">
        <v>25</v>
      </c>
      <c r="AX18" s="431" t="s">
        <v>637</v>
      </c>
      <c r="AY18" s="431" t="s">
        <v>306</v>
      </c>
      <c r="AZ18" s="432" t="s">
        <v>328</v>
      </c>
    </row>
    <row r="19" spans="1:52" s="489" customFormat="1" ht="42.75">
      <c r="A19" s="444" t="s">
        <v>780</v>
      </c>
      <c r="B19" s="450" t="s">
        <v>769</v>
      </c>
      <c r="C19" s="430" t="s">
        <v>781</v>
      </c>
      <c r="D19" s="431">
        <v>300</v>
      </c>
      <c r="E19" s="431">
        <v>0</v>
      </c>
      <c r="F19" s="431">
        <v>240</v>
      </c>
      <c r="G19" s="431">
        <v>4</v>
      </c>
      <c r="H19" s="430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1"/>
      <c r="Y19" s="431"/>
      <c r="Z19" s="431"/>
      <c r="AA19" s="431"/>
      <c r="AB19" s="431"/>
      <c r="AC19" s="431"/>
      <c r="AD19" s="431"/>
      <c r="AE19" s="431"/>
      <c r="AF19" s="442">
        <f>2*20</f>
        <v>40</v>
      </c>
      <c r="AG19" s="431">
        <v>0</v>
      </c>
      <c r="AH19" s="442">
        <v>20</v>
      </c>
      <c r="AI19" s="442">
        <v>1.26</v>
      </c>
      <c r="AJ19" s="442"/>
      <c r="AK19" s="442"/>
      <c r="AL19" s="442"/>
      <c r="AM19" s="442"/>
      <c r="AN19" s="431">
        <v>240</v>
      </c>
      <c r="AO19" s="431"/>
      <c r="AP19" s="431">
        <v>240</v>
      </c>
      <c r="AQ19" s="431">
        <v>4</v>
      </c>
      <c r="AR19" s="431">
        <v>1275</v>
      </c>
      <c r="AS19" s="431">
        <v>0</v>
      </c>
      <c r="AT19" s="431">
        <v>1275</v>
      </c>
      <c r="AU19" s="431">
        <v>25.5</v>
      </c>
      <c r="AV19" s="442" t="s">
        <v>1017</v>
      </c>
      <c r="AW19" s="442"/>
      <c r="AX19" s="442" t="s">
        <v>782</v>
      </c>
      <c r="AY19" s="442" t="s">
        <v>306</v>
      </c>
      <c r="AZ19" s="451" t="s">
        <v>783</v>
      </c>
    </row>
    <row r="20" spans="1:52" s="489" customFormat="1" ht="15">
      <c r="A20" s="444" t="s">
        <v>139</v>
      </c>
      <c r="B20" s="435" t="s">
        <v>1018</v>
      </c>
      <c r="C20" s="445" t="s">
        <v>1019</v>
      </c>
      <c r="D20" s="459"/>
      <c r="E20" s="459"/>
      <c r="F20" s="459"/>
      <c r="G20" s="459"/>
      <c r="H20" s="459"/>
      <c r="I20" s="459"/>
      <c r="J20" s="459"/>
      <c r="K20" s="459"/>
      <c r="L20" s="459"/>
      <c r="M20" s="459"/>
      <c r="N20" s="459"/>
      <c r="O20" s="459"/>
      <c r="P20" s="459"/>
      <c r="Q20" s="459"/>
      <c r="R20" s="459"/>
      <c r="S20" s="459"/>
      <c r="T20" s="459"/>
      <c r="U20" s="459"/>
      <c r="V20" s="459"/>
      <c r="W20" s="459"/>
      <c r="X20" s="431"/>
      <c r="Y20" s="431"/>
      <c r="Z20" s="509">
        <v>30</v>
      </c>
      <c r="AA20" s="492">
        <v>0.3</v>
      </c>
      <c r="AB20" s="492"/>
      <c r="AC20" s="492"/>
      <c r="AD20" s="492"/>
      <c r="AE20" s="492"/>
      <c r="AF20" s="442">
        <v>300</v>
      </c>
      <c r="AG20" s="431">
        <v>277</v>
      </c>
      <c r="AH20" s="442">
        <v>300</v>
      </c>
      <c r="AI20" s="442">
        <v>10.47</v>
      </c>
      <c r="AJ20" s="442"/>
      <c r="AK20" s="442"/>
      <c r="AL20" s="442"/>
      <c r="AM20" s="442"/>
      <c r="AN20" s="442"/>
      <c r="AO20" s="442"/>
      <c r="AP20" s="442"/>
      <c r="AQ20" s="442"/>
      <c r="AR20" s="431"/>
      <c r="AS20" s="431"/>
      <c r="AT20" s="431"/>
      <c r="AU20" s="431"/>
      <c r="AV20" s="431" t="s">
        <v>333</v>
      </c>
      <c r="AW20" s="431"/>
      <c r="AX20" s="442" t="s">
        <v>86</v>
      </c>
      <c r="AY20" s="442" t="s">
        <v>306</v>
      </c>
      <c r="AZ20" s="451" t="s">
        <v>1020</v>
      </c>
    </row>
    <row r="21" spans="1:52" s="510" customFormat="1" ht="15">
      <c r="A21" s="452"/>
      <c r="B21" s="1099" t="s">
        <v>30</v>
      </c>
      <c r="C21" s="1100"/>
      <c r="D21" s="454">
        <f aca="true" t="shared" si="0" ref="D21:I21">SUM(D6:D20)</f>
        <v>1066</v>
      </c>
      <c r="E21" s="454">
        <f t="shared" si="0"/>
        <v>282</v>
      </c>
      <c r="F21" s="454">
        <f t="shared" si="0"/>
        <v>834</v>
      </c>
      <c r="G21" s="454">
        <f t="shared" si="0"/>
        <v>63.230000000000004</v>
      </c>
      <c r="H21" s="454">
        <f t="shared" si="0"/>
        <v>90</v>
      </c>
      <c r="I21" s="454">
        <f t="shared" si="0"/>
        <v>60</v>
      </c>
      <c r="J21" s="454">
        <f aca="true" t="shared" si="1" ref="J21:AN21">SUM(J6:J20)</f>
        <v>122</v>
      </c>
      <c r="K21" s="454">
        <f t="shared" si="1"/>
        <v>3.1</v>
      </c>
      <c r="L21" s="454">
        <f t="shared" si="1"/>
        <v>806</v>
      </c>
      <c r="M21" s="454">
        <f t="shared" si="1"/>
        <v>355</v>
      </c>
      <c r="N21" s="454">
        <f t="shared" si="1"/>
        <v>556</v>
      </c>
      <c r="O21" s="454">
        <f t="shared" si="1"/>
        <v>30.519999999999996</v>
      </c>
      <c r="P21" s="454">
        <f t="shared" si="1"/>
        <v>3429</v>
      </c>
      <c r="Q21" s="454">
        <f t="shared" si="1"/>
        <v>2536</v>
      </c>
      <c r="R21" s="454">
        <f t="shared" si="1"/>
        <v>2892</v>
      </c>
      <c r="S21" s="454">
        <f t="shared" si="1"/>
        <v>85.61999999999999</v>
      </c>
      <c r="T21" s="454">
        <f t="shared" si="1"/>
        <v>2652</v>
      </c>
      <c r="U21" s="454">
        <f t="shared" si="1"/>
        <v>3171</v>
      </c>
      <c r="V21" s="454">
        <f t="shared" si="1"/>
        <v>3020</v>
      </c>
      <c r="W21" s="454">
        <f t="shared" si="1"/>
        <v>159.87</v>
      </c>
      <c r="X21" s="454">
        <f t="shared" si="1"/>
        <v>65</v>
      </c>
      <c r="Y21" s="454">
        <f t="shared" si="1"/>
        <v>0</v>
      </c>
      <c r="Z21" s="454">
        <f t="shared" si="1"/>
        <v>241</v>
      </c>
      <c r="AA21" s="454">
        <f t="shared" si="1"/>
        <v>23.200000000000003</v>
      </c>
      <c r="AB21" s="454">
        <f t="shared" si="1"/>
        <v>1335</v>
      </c>
      <c r="AC21" s="454">
        <f t="shared" si="1"/>
        <v>1153</v>
      </c>
      <c r="AD21" s="454">
        <f t="shared" si="1"/>
        <v>1897</v>
      </c>
      <c r="AE21" s="454">
        <f t="shared" si="1"/>
        <v>135.26</v>
      </c>
      <c r="AF21" s="454">
        <f t="shared" si="1"/>
        <v>1707</v>
      </c>
      <c r="AG21" s="454">
        <f t="shared" si="1"/>
        <v>1180</v>
      </c>
      <c r="AH21" s="454">
        <f t="shared" si="1"/>
        <v>670</v>
      </c>
      <c r="AI21" s="454">
        <f t="shared" si="1"/>
        <v>124.39000000000001</v>
      </c>
      <c r="AJ21" s="454">
        <f t="shared" si="1"/>
        <v>2053</v>
      </c>
      <c r="AK21" s="454">
        <f t="shared" si="1"/>
        <v>1289</v>
      </c>
      <c r="AL21" s="454">
        <f t="shared" si="1"/>
        <v>7540</v>
      </c>
      <c r="AM21" s="454">
        <f t="shared" si="1"/>
        <v>83.03</v>
      </c>
      <c r="AN21" s="454">
        <f t="shared" si="1"/>
        <v>699</v>
      </c>
      <c r="AO21" s="454">
        <f>SUM(AO6:AO20)</f>
        <v>157</v>
      </c>
      <c r="AP21" s="454">
        <f aca="true" t="shared" si="2" ref="AP21:AU21">SUM(AP6:AP20)</f>
        <v>972</v>
      </c>
      <c r="AQ21" s="454">
        <f t="shared" si="2"/>
        <v>103.32999999999998</v>
      </c>
      <c r="AR21" s="454">
        <f t="shared" si="2"/>
        <v>1948</v>
      </c>
      <c r="AS21" s="454">
        <f t="shared" si="2"/>
        <v>0</v>
      </c>
      <c r="AT21" s="454">
        <f t="shared" si="2"/>
        <v>1883</v>
      </c>
      <c r="AU21" s="454">
        <f t="shared" si="2"/>
        <v>96.82</v>
      </c>
      <c r="AV21" s="454"/>
      <c r="AW21" s="454"/>
      <c r="AX21" s="454"/>
      <c r="AY21" s="454"/>
      <c r="AZ21" s="455"/>
    </row>
    <row r="22" spans="1:52" s="489" customFormat="1" ht="15">
      <c r="A22" s="456" t="s">
        <v>123</v>
      </c>
      <c r="B22" s="1093" t="s">
        <v>124</v>
      </c>
      <c r="C22" s="1094"/>
      <c r="D22" s="1094"/>
      <c r="E22" s="1094"/>
      <c r="F22" s="1094"/>
      <c r="G22" s="1094"/>
      <c r="H22" s="1094"/>
      <c r="I22" s="1094"/>
      <c r="J22" s="1094"/>
      <c r="K22" s="1094"/>
      <c r="L22" s="1094"/>
      <c r="M22" s="1094"/>
      <c r="N22" s="1094"/>
      <c r="O22" s="1094"/>
      <c r="P22" s="1094"/>
      <c r="Q22" s="1094"/>
      <c r="R22" s="1094"/>
      <c r="S22" s="1094"/>
      <c r="T22" s="1094"/>
      <c r="U22" s="1094"/>
      <c r="V22" s="1094"/>
      <c r="W22" s="1094"/>
      <c r="X22" s="1094"/>
      <c r="Y22" s="1094"/>
      <c r="Z22" s="1094"/>
      <c r="AA22" s="1094"/>
      <c r="AB22" s="1094"/>
      <c r="AC22" s="1094"/>
      <c r="AD22" s="1094"/>
      <c r="AE22" s="1094"/>
      <c r="AF22" s="1094"/>
      <c r="AG22" s="1094"/>
      <c r="AH22" s="1094"/>
      <c r="AI22" s="1094"/>
      <c r="AJ22" s="1094"/>
      <c r="AK22" s="1094"/>
      <c r="AL22" s="1094"/>
      <c r="AM22" s="1094"/>
      <c r="AN22" s="1094"/>
      <c r="AO22" s="1094"/>
      <c r="AP22" s="1094"/>
      <c r="AQ22" s="1094"/>
      <c r="AR22" s="1094"/>
      <c r="AS22" s="1094"/>
      <c r="AT22" s="1094"/>
      <c r="AU22" s="1094"/>
      <c r="AV22" s="1094"/>
      <c r="AW22" s="1094"/>
      <c r="AX22" s="1094"/>
      <c r="AY22" s="1094"/>
      <c r="AZ22" s="1095"/>
    </row>
    <row r="23" spans="1:52" s="500" customFormat="1" ht="30">
      <c r="A23" s="458" t="s">
        <v>933</v>
      </c>
      <c r="B23" s="435" t="s">
        <v>1021</v>
      </c>
      <c r="C23" s="445" t="s">
        <v>610</v>
      </c>
      <c r="D23" s="435"/>
      <c r="E23" s="435"/>
      <c r="F23" s="435"/>
      <c r="G23" s="435"/>
      <c r="H23" s="435"/>
      <c r="I23" s="435"/>
      <c r="J23" s="435"/>
      <c r="K23" s="435"/>
      <c r="L23" s="501">
        <v>5</v>
      </c>
      <c r="M23" s="501">
        <v>4</v>
      </c>
      <c r="N23" s="501">
        <v>5</v>
      </c>
      <c r="O23" s="501">
        <v>0.75</v>
      </c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435"/>
      <c r="AU23" s="435"/>
      <c r="AV23" s="435"/>
      <c r="AW23" s="435"/>
      <c r="AX23" s="435"/>
      <c r="AY23" s="435"/>
      <c r="AZ23" s="511"/>
    </row>
    <row r="24" spans="1:52" s="500" customFormat="1" ht="42.75">
      <c r="A24" s="444" t="s">
        <v>121</v>
      </c>
      <c r="B24" s="435" t="s">
        <v>31</v>
      </c>
      <c r="C24" s="1101" t="s">
        <v>125</v>
      </c>
      <c r="D24" s="442">
        <v>10</v>
      </c>
      <c r="E24" s="54">
        <v>0</v>
      </c>
      <c r="F24" s="442">
        <v>5</v>
      </c>
      <c r="G24" s="442">
        <v>1.95</v>
      </c>
      <c r="H24" s="441"/>
      <c r="I24" s="441"/>
      <c r="J24" s="441"/>
      <c r="K24" s="441"/>
      <c r="L24" s="501">
        <v>75</v>
      </c>
      <c r="M24" s="501">
        <v>81</v>
      </c>
      <c r="N24" s="501">
        <v>50</v>
      </c>
      <c r="O24" s="501">
        <v>70</v>
      </c>
      <c r="P24" s="441"/>
      <c r="Q24" s="441"/>
      <c r="R24" s="441"/>
      <c r="S24" s="441"/>
      <c r="T24" s="441"/>
      <c r="U24" s="441"/>
      <c r="V24" s="441"/>
      <c r="W24" s="441"/>
      <c r="X24" s="431"/>
      <c r="Y24" s="431"/>
      <c r="Z24" s="431"/>
      <c r="AA24" s="431"/>
      <c r="AB24" s="66">
        <v>90</v>
      </c>
      <c r="AC24" s="431">
        <v>85</v>
      </c>
      <c r="AD24" s="66">
        <v>90</v>
      </c>
      <c r="AE24" s="431">
        <v>3.6</v>
      </c>
      <c r="AF24" s="431"/>
      <c r="AG24" s="431"/>
      <c r="AH24" s="431"/>
      <c r="AI24" s="431"/>
      <c r="AJ24" s="431"/>
      <c r="AK24" s="431"/>
      <c r="AL24" s="431"/>
      <c r="AM24" s="431"/>
      <c r="AN24" s="442">
        <v>30</v>
      </c>
      <c r="AO24" s="54"/>
      <c r="AP24" s="442">
        <v>30</v>
      </c>
      <c r="AQ24" s="442">
        <v>0.8</v>
      </c>
      <c r="AR24" s="431">
        <v>20</v>
      </c>
      <c r="AS24" s="431">
        <v>0</v>
      </c>
      <c r="AT24" s="431">
        <v>20</v>
      </c>
      <c r="AU24" s="431">
        <v>1.8</v>
      </c>
      <c r="AV24" s="431" t="s">
        <v>23</v>
      </c>
      <c r="AW24" s="431">
        <v>20</v>
      </c>
      <c r="AX24" s="431" t="s">
        <v>147</v>
      </c>
      <c r="AY24" s="431" t="s">
        <v>306</v>
      </c>
      <c r="AZ24" s="457" t="s">
        <v>277</v>
      </c>
    </row>
    <row r="25" spans="1:52" s="489" customFormat="1" ht="15">
      <c r="A25" s="444" t="s">
        <v>767</v>
      </c>
      <c r="B25" s="435" t="s">
        <v>126</v>
      </c>
      <c r="C25" s="1102"/>
      <c r="D25" s="54">
        <v>36</v>
      </c>
      <c r="E25" s="54">
        <v>0</v>
      </c>
      <c r="F25" s="54">
        <v>36</v>
      </c>
      <c r="G25" s="54">
        <v>1.2</v>
      </c>
      <c r="H25" s="441"/>
      <c r="I25" s="441"/>
      <c r="J25" s="441"/>
      <c r="K25" s="441"/>
      <c r="L25" s="441"/>
      <c r="M25" s="441"/>
      <c r="N25" s="441"/>
      <c r="O25" s="441"/>
      <c r="P25" s="441"/>
      <c r="Q25" s="441"/>
      <c r="R25" s="441"/>
      <c r="S25" s="441"/>
      <c r="T25" s="496">
        <v>0</v>
      </c>
      <c r="U25" s="496">
        <v>0</v>
      </c>
      <c r="V25" s="497">
        <v>28</v>
      </c>
      <c r="W25" s="498">
        <v>0.91</v>
      </c>
      <c r="X25" s="431"/>
      <c r="Y25" s="431"/>
      <c r="Z25" s="431"/>
      <c r="AA25" s="431"/>
      <c r="AB25" s="431"/>
      <c r="AC25" s="431"/>
      <c r="AD25" s="431"/>
      <c r="AE25" s="431"/>
      <c r="AF25" s="431"/>
      <c r="AG25" s="431"/>
      <c r="AH25" s="431"/>
      <c r="AI25" s="431"/>
      <c r="AJ25" s="431"/>
      <c r="AK25" s="431"/>
      <c r="AL25" s="431"/>
      <c r="AM25" s="431"/>
      <c r="AN25" s="54">
        <v>24</v>
      </c>
      <c r="AO25" s="54"/>
      <c r="AP25" s="54">
        <v>16</v>
      </c>
      <c r="AQ25" s="54">
        <v>1.92</v>
      </c>
      <c r="AR25" s="431">
        <v>120</v>
      </c>
      <c r="AS25" s="431">
        <v>0</v>
      </c>
      <c r="AT25" s="431">
        <v>60</v>
      </c>
      <c r="AU25" s="431">
        <v>4.15</v>
      </c>
      <c r="AV25" s="431" t="s">
        <v>12</v>
      </c>
      <c r="AW25" s="431"/>
      <c r="AX25" s="431" t="s">
        <v>1022</v>
      </c>
      <c r="AY25" s="431"/>
      <c r="AZ25" s="432" t="s">
        <v>106</v>
      </c>
    </row>
    <row r="26" spans="1:52" s="516" customFormat="1" ht="15">
      <c r="A26" s="458" t="s">
        <v>553</v>
      </c>
      <c r="B26" s="459" t="s">
        <v>38</v>
      </c>
      <c r="C26" s="445" t="s">
        <v>33</v>
      </c>
      <c r="D26" s="442">
        <v>604</v>
      </c>
      <c r="E26" s="442">
        <v>336</v>
      </c>
      <c r="F26" s="442">
        <v>240</v>
      </c>
      <c r="G26" s="442">
        <v>45</v>
      </c>
      <c r="H26" s="503"/>
      <c r="I26" s="503">
        <v>10</v>
      </c>
      <c r="J26" s="512">
        <v>4</v>
      </c>
      <c r="K26" s="504">
        <v>2</v>
      </c>
      <c r="L26" s="501">
        <v>85</v>
      </c>
      <c r="M26" s="501">
        <v>85</v>
      </c>
      <c r="N26" s="501">
        <v>285</v>
      </c>
      <c r="O26" s="501">
        <v>40.72</v>
      </c>
      <c r="P26" s="433">
        <v>396</v>
      </c>
      <c r="Q26" s="433">
        <v>476</v>
      </c>
      <c r="R26" s="433">
        <v>356</v>
      </c>
      <c r="S26" s="433">
        <v>54.38</v>
      </c>
      <c r="T26" s="496">
        <v>600</v>
      </c>
      <c r="U26" s="496">
        <v>1338</v>
      </c>
      <c r="V26" s="497">
        <v>600</v>
      </c>
      <c r="W26" s="498">
        <v>147.46</v>
      </c>
      <c r="X26" s="431"/>
      <c r="Y26" s="431"/>
      <c r="Z26" s="513">
        <v>10</v>
      </c>
      <c r="AA26" s="509">
        <v>0.6</v>
      </c>
      <c r="AB26" s="514">
        <v>302</v>
      </c>
      <c r="AC26" s="515">
        <v>416</v>
      </c>
      <c r="AD26" s="429">
        <f>'[1]Maternal Health'!I20*'[1]Maternal Health'!J20</f>
        <v>262</v>
      </c>
      <c r="AE26" s="449">
        <v>39</v>
      </c>
      <c r="AF26" s="442">
        <v>150</v>
      </c>
      <c r="AG26" s="431">
        <v>127</v>
      </c>
      <c r="AH26" s="442">
        <v>150</v>
      </c>
      <c r="AI26" s="442">
        <v>59</v>
      </c>
      <c r="AJ26" s="442">
        <v>1140</v>
      </c>
      <c r="AK26" s="442">
        <v>704</v>
      </c>
      <c r="AL26" s="442">
        <v>540</v>
      </c>
      <c r="AM26" s="442">
        <v>87.75</v>
      </c>
      <c r="AN26" s="1103">
        <v>400</v>
      </c>
      <c r="AO26" s="1103">
        <v>145</v>
      </c>
      <c r="AP26" s="1103">
        <v>120</v>
      </c>
      <c r="AQ26" s="1103">
        <v>42.41</v>
      </c>
      <c r="AR26" s="431">
        <v>600</v>
      </c>
      <c r="AS26" s="431">
        <v>0</v>
      </c>
      <c r="AT26" s="431">
        <v>600</v>
      </c>
      <c r="AU26" s="431">
        <v>66</v>
      </c>
      <c r="AV26" s="431" t="s">
        <v>561</v>
      </c>
      <c r="AW26" s="431" t="s">
        <v>1023</v>
      </c>
      <c r="AX26" s="431" t="s">
        <v>556</v>
      </c>
      <c r="AY26" s="431" t="s">
        <v>555</v>
      </c>
      <c r="AZ26" s="432" t="s">
        <v>554</v>
      </c>
    </row>
    <row r="27" spans="1:52" s="500" customFormat="1" ht="42.75">
      <c r="A27" s="458" t="s">
        <v>307</v>
      </c>
      <c r="B27" s="435" t="s">
        <v>32</v>
      </c>
      <c r="C27" s="1089" t="s">
        <v>33</v>
      </c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37"/>
      <c r="Y27" s="437"/>
      <c r="Z27" s="437"/>
      <c r="AA27" s="437"/>
      <c r="AB27" s="437"/>
      <c r="AC27" s="437"/>
      <c r="AD27" s="437"/>
      <c r="AE27" s="437"/>
      <c r="AF27" s="437"/>
      <c r="AG27" s="437"/>
      <c r="AH27" s="437"/>
      <c r="AI27" s="437"/>
      <c r="AJ27" s="437"/>
      <c r="AK27" s="437"/>
      <c r="AL27" s="437"/>
      <c r="AM27" s="437"/>
      <c r="AN27" s="1104"/>
      <c r="AO27" s="1104"/>
      <c r="AP27" s="1104"/>
      <c r="AQ27" s="1104"/>
      <c r="AR27" s="431"/>
      <c r="AS27" s="431"/>
      <c r="AT27" s="431"/>
      <c r="AU27" s="437"/>
      <c r="AV27" s="431" t="s">
        <v>279</v>
      </c>
      <c r="AW27" s="431" t="s">
        <v>968</v>
      </c>
      <c r="AX27" s="431" t="s">
        <v>280</v>
      </c>
      <c r="AY27" s="431" t="s">
        <v>306</v>
      </c>
      <c r="AZ27" s="432" t="s">
        <v>281</v>
      </c>
    </row>
    <row r="28" spans="1:52" s="489" customFormat="1" ht="28.5">
      <c r="A28" s="458" t="s">
        <v>308</v>
      </c>
      <c r="B28" s="435" t="s">
        <v>40</v>
      </c>
      <c r="C28" s="1090"/>
      <c r="D28" s="445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  <c r="X28" s="437"/>
      <c r="Y28" s="437"/>
      <c r="Z28" s="437"/>
      <c r="AA28" s="437"/>
      <c r="AB28" s="437"/>
      <c r="AC28" s="437"/>
      <c r="AD28" s="437"/>
      <c r="AE28" s="437"/>
      <c r="AF28" s="437"/>
      <c r="AG28" s="437"/>
      <c r="AH28" s="437"/>
      <c r="AI28" s="437"/>
      <c r="AJ28" s="437"/>
      <c r="AK28" s="437"/>
      <c r="AL28" s="437"/>
      <c r="AM28" s="437"/>
      <c r="AN28" s="1104"/>
      <c r="AO28" s="1105"/>
      <c r="AP28" s="1105"/>
      <c r="AQ28" s="1105"/>
      <c r="AR28" s="431"/>
      <c r="AS28" s="431"/>
      <c r="AT28" s="431"/>
      <c r="AU28" s="437"/>
      <c r="AV28" s="431" t="s">
        <v>12</v>
      </c>
      <c r="AW28" s="431">
        <v>25</v>
      </c>
      <c r="AX28" s="431" t="s">
        <v>280</v>
      </c>
      <c r="AY28" s="431" t="s">
        <v>306</v>
      </c>
      <c r="AZ28" s="432" t="s">
        <v>281</v>
      </c>
    </row>
    <row r="29" spans="1:52" s="500" customFormat="1" ht="15">
      <c r="A29" s="458" t="s">
        <v>560</v>
      </c>
      <c r="B29" s="435" t="s">
        <v>32</v>
      </c>
      <c r="C29" s="445" t="s">
        <v>559</v>
      </c>
      <c r="D29" s="442"/>
      <c r="E29" s="442">
        <v>116</v>
      </c>
      <c r="F29" s="442">
        <v>80</v>
      </c>
      <c r="G29" s="442">
        <v>15</v>
      </c>
      <c r="H29" s="72"/>
      <c r="I29" s="72"/>
      <c r="J29" s="72"/>
      <c r="K29" s="72"/>
      <c r="L29" s="442">
        <v>93</v>
      </c>
      <c r="M29" s="442">
        <v>0</v>
      </c>
      <c r="N29" s="442">
        <v>279</v>
      </c>
      <c r="O29" s="442">
        <v>39.87</v>
      </c>
      <c r="P29" s="72">
        <v>496</v>
      </c>
      <c r="Q29" s="72">
        <v>404</v>
      </c>
      <c r="R29" s="72">
        <v>348</v>
      </c>
      <c r="S29" s="72">
        <v>48.78</v>
      </c>
      <c r="T29" s="496">
        <v>600</v>
      </c>
      <c r="U29" s="496">
        <v>2141</v>
      </c>
      <c r="V29" s="497">
        <v>270</v>
      </c>
      <c r="W29" s="498">
        <v>66.36</v>
      </c>
      <c r="X29" s="431"/>
      <c r="Y29" s="431"/>
      <c r="Z29" s="431"/>
      <c r="AA29" s="431"/>
      <c r="AB29" s="66">
        <v>448</v>
      </c>
      <c r="AC29" s="431">
        <v>656</v>
      </c>
      <c r="AD29" s="517">
        <f>'[1]Maternal Health'!I24*'[1]Maternal Health'!J24</f>
        <v>460</v>
      </c>
      <c r="AE29" s="431">
        <v>69</v>
      </c>
      <c r="AF29" s="442">
        <v>48</v>
      </c>
      <c r="AG29" s="431">
        <v>63</v>
      </c>
      <c r="AH29" s="442">
        <v>48</v>
      </c>
      <c r="AI29" s="442">
        <v>18.88</v>
      </c>
      <c r="AJ29" s="442"/>
      <c r="AK29" s="442"/>
      <c r="AL29" s="442"/>
      <c r="AM29" s="442"/>
      <c r="AN29" s="1104"/>
      <c r="AO29" s="1103">
        <v>33</v>
      </c>
      <c r="AP29" s="1103">
        <v>32</v>
      </c>
      <c r="AQ29" s="1103">
        <v>11.31</v>
      </c>
      <c r="AR29" s="431">
        <v>24</v>
      </c>
      <c r="AS29" s="431">
        <v>0</v>
      </c>
      <c r="AT29" s="431">
        <v>24</v>
      </c>
      <c r="AU29" s="431">
        <v>6</v>
      </c>
      <c r="AV29" s="431" t="s">
        <v>561</v>
      </c>
      <c r="AW29" s="431">
        <v>25</v>
      </c>
      <c r="AX29" s="431" t="s">
        <v>556</v>
      </c>
      <c r="AY29" s="431" t="s">
        <v>555</v>
      </c>
      <c r="AZ29" s="432" t="s">
        <v>554</v>
      </c>
    </row>
    <row r="30" spans="1:52" s="489" customFormat="1" ht="42.75">
      <c r="A30" s="458" t="s">
        <v>336</v>
      </c>
      <c r="B30" s="435" t="s">
        <v>32</v>
      </c>
      <c r="C30" s="1089" t="s">
        <v>39</v>
      </c>
      <c r="D30" s="445"/>
      <c r="E30" s="445"/>
      <c r="F30" s="445"/>
      <c r="G30" s="445"/>
      <c r="H30" s="445"/>
      <c r="I30" s="445"/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445"/>
      <c r="U30" s="445"/>
      <c r="V30" s="445"/>
      <c r="W30" s="445"/>
      <c r="X30" s="437"/>
      <c r="Y30" s="437"/>
      <c r="Z30" s="437"/>
      <c r="AA30" s="437"/>
      <c r="AB30" s="437"/>
      <c r="AC30" s="437"/>
      <c r="AD30" s="437"/>
      <c r="AE30" s="437"/>
      <c r="AF30" s="437"/>
      <c r="AG30" s="437"/>
      <c r="AH30" s="437"/>
      <c r="AI30" s="437"/>
      <c r="AJ30" s="437"/>
      <c r="AK30" s="437"/>
      <c r="AL30" s="437"/>
      <c r="AM30" s="437"/>
      <c r="AN30" s="1104"/>
      <c r="AO30" s="1104"/>
      <c r="AP30" s="1104"/>
      <c r="AQ30" s="1104"/>
      <c r="AR30" s="431"/>
      <c r="AS30" s="431"/>
      <c r="AT30" s="431"/>
      <c r="AU30" s="437"/>
      <c r="AV30" s="431" t="s">
        <v>279</v>
      </c>
      <c r="AW30" s="431" t="s">
        <v>968</v>
      </c>
      <c r="AX30" s="431" t="s">
        <v>280</v>
      </c>
      <c r="AY30" s="431" t="s">
        <v>306</v>
      </c>
      <c r="AZ30" s="432" t="s">
        <v>281</v>
      </c>
    </row>
    <row r="31" spans="1:52" s="489" customFormat="1" ht="28.5">
      <c r="A31" s="458" t="s">
        <v>337</v>
      </c>
      <c r="B31" s="435" t="s">
        <v>40</v>
      </c>
      <c r="C31" s="1098"/>
      <c r="D31" s="445"/>
      <c r="E31" s="445"/>
      <c r="F31" s="445"/>
      <c r="G31" s="445"/>
      <c r="H31" s="445"/>
      <c r="I31" s="445"/>
      <c r="J31" s="445"/>
      <c r="K31" s="445"/>
      <c r="L31" s="445"/>
      <c r="M31" s="445"/>
      <c r="N31" s="445"/>
      <c r="O31" s="445"/>
      <c r="P31" s="445"/>
      <c r="Q31" s="445"/>
      <c r="R31" s="445"/>
      <c r="S31" s="445"/>
      <c r="T31" s="445"/>
      <c r="U31" s="445"/>
      <c r="V31" s="445"/>
      <c r="W31" s="445"/>
      <c r="X31" s="437"/>
      <c r="Y31" s="437"/>
      <c r="Z31" s="437"/>
      <c r="AA31" s="437"/>
      <c r="AB31" s="437"/>
      <c r="AC31" s="437"/>
      <c r="AD31" s="437"/>
      <c r="AE31" s="437"/>
      <c r="AF31" s="437"/>
      <c r="AG31" s="437"/>
      <c r="AH31" s="437"/>
      <c r="AI31" s="437"/>
      <c r="AJ31" s="437"/>
      <c r="AK31" s="437"/>
      <c r="AL31" s="437"/>
      <c r="AM31" s="437"/>
      <c r="AN31" s="1105"/>
      <c r="AO31" s="1105"/>
      <c r="AP31" s="1105"/>
      <c r="AQ31" s="1105"/>
      <c r="AR31" s="437"/>
      <c r="AS31" s="437"/>
      <c r="AT31" s="437"/>
      <c r="AU31" s="437"/>
      <c r="AV31" s="431" t="s">
        <v>12</v>
      </c>
      <c r="AW31" s="431">
        <v>25</v>
      </c>
      <c r="AX31" s="431" t="s">
        <v>280</v>
      </c>
      <c r="AY31" s="431" t="s">
        <v>306</v>
      </c>
      <c r="AZ31" s="432" t="s">
        <v>281</v>
      </c>
    </row>
    <row r="32" spans="1:52" s="489" customFormat="1" ht="15">
      <c r="A32" s="458"/>
      <c r="B32" s="435" t="s">
        <v>1024</v>
      </c>
      <c r="C32" s="1098"/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  <c r="P32" s="445"/>
      <c r="Q32" s="445"/>
      <c r="R32" s="445"/>
      <c r="S32" s="445"/>
      <c r="T32" s="445"/>
      <c r="U32" s="445"/>
      <c r="V32" s="445"/>
      <c r="W32" s="445"/>
      <c r="X32" s="437"/>
      <c r="Y32" s="437"/>
      <c r="Z32" s="437"/>
      <c r="AA32" s="437"/>
      <c r="AB32" s="437"/>
      <c r="AC32" s="431">
        <v>448</v>
      </c>
      <c r="AD32" s="437"/>
      <c r="AE32" s="431"/>
      <c r="AF32" s="437"/>
      <c r="AG32" s="437"/>
      <c r="AH32" s="437"/>
      <c r="AI32" s="437"/>
      <c r="AJ32" s="437"/>
      <c r="AK32" s="437"/>
      <c r="AL32" s="437"/>
      <c r="AM32" s="437"/>
      <c r="AN32" s="437"/>
      <c r="AO32" s="437"/>
      <c r="AP32" s="437"/>
      <c r="AQ32" s="437"/>
      <c r="AR32" s="437"/>
      <c r="AS32" s="437"/>
      <c r="AT32" s="437"/>
      <c r="AU32" s="437"/>
      <c r="AV32" s="431" t="s">
        <v>35</v>
      </c>
      <c r="AW32" s="430" t="s">
        <v>1025</v>
      </c>
      <c r="AX32" s="431" t="s">
        <v>1026</v>
      </c>
      <c r="AY32" s="431" t="s">
        <v>306</v>
      </c>
      <c r="AZ32" s="432" t="s">
        <v>1027</v>
      </c>
    </row>
    <row r="33" spans="1:52" s="489" customFormat="1" ht="15">
      <c r="A33" s="434" t="s">
        <v>687</v>
      </c>
      <c r="B33" s="435" t="s">
        <v>29</v>
      </c>
      <c r="C33" s="1090"/>
      <c r="D33" s="445"/>
      <c r="E33" s="445"/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445"/>
      <c r="V33" s="445"/>
      <c r="W33" s="445"/>
      <c r="X33" s="437"/>
      <c r="Y33" s="437"/>
      <c r="Z33" s="437"/>
      <c r="AA33" s="437"/>
      <c r="AB33" s="437"/>
      <c r="AC33" s="431">
        <v>36</v>
      </c>
      <c r="AD33" s="437"/>
      <c r="AE33" s="518"/>
      <c r="AF33" s="437"/>
      <c r="AG33" s="437"/>
      <c r="AH33" s="437"/>
      <c r="AI33" s="437"/>
      <c r="AJ33" s="437"/>
      <c r="AK33" s="437"/>
      <c r="AL33" s="437"/>
      <c r="AM33" s="437"/>
      <c r="AN33" s="437"/>
      <c r="AO33" s="437"/>
      <c r="AP33" s="437"/>
      <c r="AQ33" s="437"/>
      <c r="AR33" s="437"/>
      <c r="AS33" s="437"/>
      <c r="AT33" s="437"/>
      <c r="AU33" s="437"/>
      <c r="AV33" s="431" t="s">
        <v>37</v>
      </c>
      <c r="AW33" s="431">
        <v>36</v>
      </c>
      <c r="AX33" s="431" t="s">
        <v>56</v>
      </c>
      <c r="AY33" s="431" t="s">
        <v>306</v>
      </c>
      <c r="AZ33" s="432" t="s">
        <v>1028</v>
      </c>
    </row>
    <row r="34" spans="1:52" s="510" customFormat="1" ht="15">
      <c r="A34" s="452"/>
      <c r="B34" s="1099" t="s">
        <v>30</v>
      </c>
      <c r="C34" s="1100"/>
      <c r="D34" s="453">
        <f>SUM(D23:D33)</f>
        <v>650</v>
      </c>
      <c r="E34" s="453">
        <f aca="true" t="shared" si="3" ref="E34:AU34">SUM(E23:E33)</f>
        <v>452</v>
      </c>
      <c r="F34" s="453">
        <f t="shared" si="3"/>
        <v>361</v>
      </c>
      <c r="G34" s="453">
        <f t="shared" si="3"/>
        <v>63.15</v>
      </c>
      <c r="H34" s="453">
        <f t="shared" si="3"/>
        <v>0</v>
      </c>
      <c r="I34" s="453">
        <f t="shared" si="3"/>
        <v>10</v>
      </c>
      <c r="J34" s="453">
        <f t="shared" si="3"/>
        <v>4</v>
      </c>
      <c r="K34" s="453">
        <f t="shared" si="3"/>
        <v>2</v>
      </c>
      <c r="L34" s="453">
        <f t="shared" si="3"/>
        <v>258</v>
      </c>
      <c r="M34" s="453">
        <f t="shared" si="3"/>
        <v>170</v>
      </c>
      <c r="N34" s="453">
        <f t="shared" si="3"/>
        <v>619</v>
      </c>
      <c r="O34" s="453">
        <f t="shared" si="3"/>
        <v>151.34</v>
      </c>
      <c r="P34" s="453">
        <f t="shared" si="3"/>
        <v>892</v>
      </c>
      <c r="Q34" s="453">
        <f t="shared" si="3"/>
        <v>880</v>
      </c>
      <c r="R34" s="453">
        <f t="shared" si="3"/>
        <v>704</v>
      </c>
      <c r="S34" s="453">
        <f t="shared" si="3"/>
        <v>103.16</v>
      </c>
      <c r="T34" s="453">
        <f t="shared" si="3"/>
        <v>1200</v>
      </c>
      <c r="U34" s="453">
        <f t="shared" si="3"/>
        <v>3479</v>
      </c>
      <c r="V34" s="453">
        <f t="shared" si="3"/>
        <v>898</v>
      </c>
      <c r="W34" s="453">
        <f t="shared" si="3"/>
        <v>214.73000000000002</v>
      </c>
      <c r="X34" s="453">
        <f t="shared" si="3"/>
        <v>0</v>
      </c>
      <c r="Y34" s="453">
        <f t="shared" si="3"/>
        <v>0</v>
      </c>
      <c r="Z34" s="453">
        <f t="shared" si="3"/>
        <v>10</v>
      </c>
      <c r="AA34" s="453">
        <f t="shared" si="3"/>
        <v>0.6</v>
      </c>
      <c r="AB34" s="453">
        <f t="shared" si="3"/>
        <v>840</v>
      </c>
      <c r="AC34" s="453">
        <f t="shared" si="3"/>
        <v>1641</v>
      </c>
      <c r="AD34" s="453">
        <f t="shared" si="3"/>
        <v>812</v>
      </c>
      <c r="AE34" s="453">
        <f t="shared" si="3"/>
        <v>111.6</v>
      </c>
      <c r="AF34" s="453">
        <f t="shared" si="3"/>
        <v>198</v>
      </c>
      <c r="AG34" s="453">
        <f t="shared" si="3"/>
        <v>190</v>
      </c>
      <c r="AH34" s="453">
        <f t="shared" si="3"/>
        <v>198</v>
      </c>
      <c r="AI34" s="453">
        <f t="shared" si="3"/>
        <v>77.88</v>
      </c>
      <c r="AJ34" s="453">
        <f t="shared" si="3"/>
        <v>1140</v>
      </c>
      <c r="AK34" s="453">
        <f t="shared" si="3"/>
        <v>704</v>
      </c>
      <c r="AL34" s="453">
        <f t="shared" si="3"/>
        <v>540</v>
      </c>
      <c r="AM34" s="453">
        <f t="shared" si="3"/>
        <v>87.75</v>
      </c>
      <c r="AN34" s="453">
        <f t="shared" si="3"/>
        <v>454</v>
      </c>
      <c r="AO34" s="453">
        <f t="shared" si="3"/>
        <v>178</v>
      </c>
      <c r="AP34" s="453">
        <f t="shared" si="3"/>
        <v>198</v>
      </c>
      <c r="AQ34" s="453">
        <f t="shared" si="3"/>
        <v>56.44</v>
      </c>
      <c r="AR34" s="453">
        <f t="shared" si="3"/>
        <v>764</v>
      </c>
      <c r="AS34" s="453">
        <f t="shared" si="3"/>
        <v>0</v>
      </c>
      <c r="AT34" s="453">
        <f t="shared" si="3"/>
        <v>704</v>
      </c>
      <c r="AU34" s="453">
        <f t="shared" si="3"/>
        <v>77.95</v>
      </c>
      <c r="AV34" s="454"/>
      <c r="AW34" s="454"/>
      <c r="AX34" s="454"/>
      <c r="AY34" s="454"/>
      <c r="AZ34" s="455"/>
    </row>
    <row r="35" spans="1:52" s="489" customFormat="1" ht="15">
      <c r="A35" s="456" t="s">
        <v>118</v>
      </c>
      <c r="B35" s="1093" t="s">
        <v>117</v>
      </c>
      <c r="C35" s="1094"/>
      <c r="D35" s="1094"/>
      <c r="E35" s="1094"/>
      <c r="F35" s="1094"/>
      <c r="G35" s="1094"/>
      <c r="H35" s="1094"/>
      <c r="I35" s="1094"/>
      <c r="J35" s="1094"/>
      <c r="K35" s="1094"/>
      <c r="L35" s="1094"/>
      <c r="M35" s="1094"/>
      <c r="N35" s="1094"/>
      <c r="O35" s="1094"/>
      <c r="P35" s="1094"/>
      <c r="Q35" s="1094"/>
      <c r="R35" s="1094"/>
      <c r="S35" s="1094"/>
      <c r="T35" s="1094"/>
      <c r="U35" s="1094"/>
      <c r="V35" s="1094"/>
      <c r="W35" s="1094"/>
      <c r="X35" s="1094"/>
      <c r="Y35" s="1094"/>
      <c r="Z35" s="1094"/>
      <c r="AA35" s="1094"/>
      <c r="AB35" s="1094"/>
      <c r="AC35" s="1094"/>
      <c r="AD35" s="1094"/>
      <c r="AE35" s="1094"/>
      <c r="AF35" s="1094"/>
      <c r="AG35" s="1094"/>
      <c r="AH35" s="1094"/>
      <c r="AI35" s="1094"/>
      <c r="AJ35" s="1094"/>
      <c r="AK35" s="1094"/>
      <c r="AL35" s="1094"/>
      <c r="AM35" s="1094"/>
      <c r="AN35" s="1094"/>
      <c r="AO35" s="1094"/>
      <c r="AP35" s="1094"/>
      <c r="AQ35" s="1094"/>
      <c r="AR35" s="1094"/>
      <c r="AS35" s="1094"/>
      <c r="AT35" s="1094"/>
      <c r="AU35" s="1094"/>
      <c r="AV35" s="1094"/>
      <c r="AW35" s="1094"/>
      <c r="AX35" s="1094"/>
      <c r="AY35" s="1094"/>
      <c r="AZ35" s="1095"/>
    </row>
    <row r="36" spans="1:52" s="500" customFormat="1" ht="16.5">
      <c r="A36" s="444" t="s">
        <v>1029</v>
      </c>
      <c r="B36" s="519" t="s">
        <v>1030</v>
      </c>
      <c r="C36" s="520"/>
      <c r="D36" s="445"/>
      <c r="E36" s="445"/>
      <c r="F36" s="445"/>
      <c r="G36" s="445"/>
      <c r="H36" s="445"/>
      <c r="I36" s="445"/>
      <c r="J36" s="445"/>
      <c r="K36" s="445"/>
      <c r="L36" s="521">
        <v>1</v>
      </c>
      <c r="M36" s="54">
        <v>1</v>
      </c>
      <c r="N36" s="54">
        <v>7</v>
      </c>
      <c r="O36" s="54">
        <v>18.4</v>
      </c>
      <c r="P36" s="519"/>
      <c r="Q36" s="519"/>
      <c r="R36" s="519"/>
      <c r="S36" s="519"/>
      <c r="T36" s="519"/>
      <c r="U36" s="519"/>
      <c r="V36" s="519"/>
      <c r="W36" s="519"/>
      <c r="X36" s="522">
        <v>1</v>
      </c>
      <c r="Y36" s="435"/>
      <c r="Z36" s="435"/>
      <c r="AA36" s="435"/>
      <c r="AB36" s="435"/>
      <c r="AC36" s="435"/>
      <c r="AD36" s="435"/>
      <c r="AE36" s="435"/>
      <c r="AF36" s="435"/>
      <c r="AG36" s="435"/>
      <c r="AH36" s="435"/>
      <c r="AI36" s="435"/>
      <c r="AJ36" s="435"/>
      <c r="AK36" s="435"/>
      <c r="AL36" s="435"/>
      <c r="AM36" s="435"/>
      <c r="AN36" s="435"/>
      <c r="AO36" s="435"/>
      <c r="AP36" s="435"/>
      <c r="AQ36" s="435"/>
      <c r="AR36" s="435"/>
      <c r="AS36" s="435"/>
      <c r="AT36" s="435"/>
      <c r="AU36" s="435"/>
      <c r="AV36" s="435"/>
      <c r="AW36" s="435"/>
      <c r="AX36" s="435"/>
      <c r="AY36" s="435"/>
      <c r="AZ36" s="511"/>
    </row>
    <row r="37" spans="1:52" s="489" customFormat="1" ht="28.5">
      <c r="A37" s="444" t="s">
        <v>120</v>
      </c>
      <c r="B37" s="435" t="s">
        <v>119</v>
      </c>
      <c r="C37" s="441" t="s">
        <v>309</v>
      </c>
      <c r="D37" s="431"/>
      <c r="E37" s="431"/>
      <c r="F37" s="442">
        <v>15</v>
      </c>
      <c r="G37" s="431">
        <v>1</v>
      </c>
      <c r="H37" s="445"/>
      <c r="I37" s="445"/>
      <c r="J37" s="445"/>
      <c r="K37" s="445"/>
      <c r="L37" s="442">
        <v>6</v>
      </c>
      <c r="M37" s="442">
        <v>6</v>
      </c>
      <c r="N37" s="442">
        <v>6</v>
      </c>
      <c r="O37" s="499">
        <v>190.71</v>
      </c>
      <c r="P37" s="441"/>
      <c r="Q37" s="441"/>
      <c r="R37" s="441"/>
      <c r="S37" s="441"/>
      <c r="T37" s="441"/>
      <c r="U37" s="441"/>
      <c r="V37" s="441"/>
      <c r="W37" s="441"/>
      <c r="X37" s="441"/>
      <c r="Y37" s="441"/>
      <c r="Z37" s="441"/>
      <c r="AA37" s="441"/>
      <c r="AB37" s="441"/>
      <c r="AC37" s="441"/>
      <c r="AD37" s="441"/>
      <c r="AE37" s="441"/>
      <c r="AF37" s="441"/>
      <c r="AG37" s="441"/>
      <c r="AH37" s="441"/>
      <c r="AI37" s="441"/>
      <c r="AJ37" s="441"/>
      <c r="AK37" s="441"/>
      <c r="AL37" s="441"/>
      <c r="AM37" s="441"/>
      <c r="AN37" s="441"/>
      <c r="AO37" s="441"/>
      <c r="AP37" s="441"/>
      <c r="AQ37" s="441"/>
      <c r="AR37" s="441"/>
      <c r="AS37" s="441"/>
      <c r="AT37" s="441"/>
      <c r="AU37" s="441"/>
      <c r="AV37" s="441" t="s">
        <v>81</v>
      </c>
      <c r="AW37" s="431" t="s">
        <v>861</v>
      </c>
      <c r="AX37" s="431" t="s">
        <v>973</v>
      </c>
      <c r="AY37" s="431" t="s">
        <v>306</v>
      </c>
      <c r="AZ37" s="432" t="s">
        <v>310</v>
      </c>
    </row>
    <row r="38" spans="1:52" s="489" customFormat="1" ht="15">
      <c r="A38" s="461" t="s">
        <v>640</v>
      </c>
      <c r="B38" s="462" t="s">
        <v>1031</v>
      </c>
      <c r="C38" s="441" t="s">
        <v>36</v>
      </c>
      <c r="D38" s="431"/>
      <c r="E38" s="431"/>
      <c r="F38" s="442">
        <v>1680</v>
      </c>
      <c r="G38" s="431">
        <v>94.5</v>
      </c>
      <c r="H38" s="445"/>
      <c r="I38" s="445"/>
      <c r="J38" s="445"/>
      <c r="K38" s="445"/>
      <c r="L38" s="445"/>
      <c r="M38" s="445"/>
      <c r="N38" s="445"/>
      <c r="O38" s="445"/>
      <c r="P38" s="445"/>
      <c r="Q38" s="445"/>
      <c r="R38" s="445"/>
      <c r="S38" s="445"/>
      <c r="T38" s="496"/>
      <c r="U38" s="496"/>
      <c r="V38" s="497"/>
      <c r="W38" s="498"/>
      <c r="X38" s="54"/>
      <c r="Y38" s="54"/>
      <c r="Z38" s="54"/>
      <c r="AA38" s="54"/>
      <c r="AB38" s="66">
        <v>162</v>
      </c>
      <c r="AC38" s="431">
        <v>0</v>
      </c>
      <c r="AD38" s="54"/>
      <c r="AE38" s="54"/>
      <c r="AF38" s="54"/>
      <c r="AG38" s="431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431" t="s">
        <v>71</v>
      </c>
      <c r="AW38" s="431">
        <v>25</v>
      </c>
      <c r="AX38" s="431" t="s">
        <v>1032</v>
      </c>
      <c r="AY38" s="431" t="s">
        <v>306</v>
      </c>
      <c r="AZ38" s="432" t="s">
        <v>1033</v>
      </c>
    </row>
    <row r="39" spans="1:52" s="489" customFormat="1" ht="15">
      <c r="A39" s="434" t="s">
        <v>132</v>
      </c>
      <c r="B39" s="435" t="s">
        <v>29</v>
      </c>
      <c r="C39" s="431" t="s">
        <v>36</v>
      </c>
      <c r="D39" s="502"/>
      <c r="E39" s="502"/>
      <c r="F39" s="503"/>
      <c r="G39" s="504"/>
      <c r="H39" s="502">
        <v>0</v>
      </c>
      <c r="I39" s="502">
        <v>0</v>
      </c>
      <c r="J39" s="503">
        <v>30</v>
      </c>
      <c r="K39" s="504">
        <v>0.4</v>
      </c>
      <c r="L39" s="504"/>
      <c r="M39" s="504"/>
      <c r="N39" s="504"/>
      <c r="O39" s="504"/>
      <c r="P39" s="433">
        <v>390</v>
      </c>
      <c r="Q39" s="433">
        <v>181</v>
      </c>
      <c r="R39" s="433">
        <v>150</v>
      </c>
      <c r="S39" s="433">
        <v>3.17</v>
      </c>
      <c r="T39" s="431"/>
      <c r="U39" s="431"/>
      <c r="V39" s="431"/>
      <c r="W39" s="431"/>
      <c r="X39" s="431"/>
      <c r="Y39" s="431"/>
      <c r="Z39" s="509">
        <v>30</v>
      </c>
      <c r="AA39" s="492">
        <v>0.3</v>
      </c>
      <c r="AB39" s="489">
        <v>0</v>
      </c>
      <c r="AC39" s="431">
        <v>58</v>
      </c>
      <c r="AD39" s="66">
        <v>340</v>
      </c>
      <c r="AE39" s="431">
        <v>6.8</v>
      </c>
      <c r="AF39" s="442">
        <v>200</v>
      </c>
      <c r="AG39" s="431">
        <v>171</v>
      </c>
      <c r="AH39" s="442">
        <v>100</v>
      </c>
      <c r="AI39" s="442">
        <v>2.66</v>
      </c>
      <c r="AJ39" s="442">
        <v>570</v>
      </c>
      <c r="AK39" s="523">
        <v>253</v>
      </c>
      <c r="AL39" s="442">
        <v>120</v>
      </c>
      <c r="AM39" s="442">
        <v>1.75</v>
      </c>
      <c r="AN39" s="431">
        <v>300</v>
      </c>
      <c r="AO39" s="431">
        <v>84</v>
      </c>
      <c r="AP39" s="431">
        <v>300</v>
      </c>
      <c r="AQ39" s="54">
        <v>6.58</v>
      </c>
      <c r="AR39" s="431"/>
      <c r="AS39" s="431"/>
      <c r="AT39" s="431"/>
      <c r="AU39" s="431"/>
      <c r="AV39" s="431" t="s">
        <v>23</v>
      </c>
      <c r="AW39" s="431" t="s">
        <v>861</v>
      </c>
      <c r="AX39" s="431" t="s">
        <v>150</v>
      </c>
      <c r="AY39" s="431" t="s">
        <v>306</v>
      </c>
      <c r="AZ39" s="432" t="s">
        <v>275</v>
      </c>
    </row>
    <row r="40" spans="1:52" s="489" customFormat="1" ht="28.5">
      <c r="A40" s="444" t="s">
        <v>615</v>
      </c>
      <c r="B40" s="435" t="s">
        <v>695</v>
      </c>
      <c r="C40" s="441" t="s">
        <v>696</v>
      </c>
      <c r="D40" s="524"/>
      <c r="E40" s="524"/>
      <c r="F40" s="524"/>
      <c r="G40" s="525"/>
      <c r="H40" s="524">
        <v>1</v>
      </c>
      <c r="I40" s="524">
        <v>0</v>
      </c>
      <c r="J40" s="524">
        <v>0</v>
      </c>
      <c r="K40" s="525">
        <v>0</v>
      </c>
      <c r="L40" s="442">
        <v>0</v>
      </c>
      <c r="M40" s="442">
        <v>0</v>
      </c>
      <c r="N40" s="442">
        <v>1</v>
      </c>
      <c r="O40" s="442">
        <v>3.6</v>
      </c>
      <c r="P40" s="441"/>
      <c r="Q40" s="441"/>
      <c r="R40" s="441"/>
      <c r="S40" s="441"/>
      <c r="T40" s="441"/>
      <c r="U40" s="441"/>
      <c r="V40" s="441"/>
      <c r="W40" s="441"/>
      <c r="X40" s="441"/>
      <c r="Y40" s="441"/>
      <c r="Z40" s="441"/>
      <c r="AA40" s="441"/>
      <c r="AB40" s="66">
        <v>576</v>
      </c>
      <c r="AC40" s="431">
        <f>SUM('[2]Maternal Health'!AC16:AC16)</f>
        <v>391</v>
      </c>
      <c r="AD40" s="66"/>
      <c r="AE40" s="431"/>
      <c r="AF40" s="441"/>
      <c r="AG40" s="441"/>
      <c r="AH40" s="441"/>
      <c r="AI40" s="441"/>
      <c r="AJ40" s="441"/>
      <c r="AK40" s="441"/>
      <c r="AL40" s="445">
        <v>2880</v>
      </c>
      <c r="AM40" s="428">
        <v>108.43</v>
      </c>
      <c r="AN40" s="441"/>
      <c r="AO40" s="441"/>
      <c r="AP40" s="441"/>
      <c r="AQ40" s="441"/>
      <c r="AR40" s="441"/>
      <c r="AS40" s="441"/>
      <c r="AT40" s="441"/>
      <c r="AU40" s="441"/>
      <c r="AV40" s="441" t="s">
        <v>81</v>
      </c>
      <c r="AW40" s="431">
        <v>16</v>
      </c>
      <c r="AX40" s="431" t="s">
        <v>697</v>
      </c>
      <c r="AY40" s="431" t="s">
        <v>306</v>
      </c>
      <c r="AZ40" s="432" t="s">
        <v>306</v>
      </c>
    </row>
    <row r="41" spans="1:52" s="510" customFormat="1" ht="15">
      <c r="A41" s="452"/>
      <c r="B41" s="1099" t="s">
        <v>30</v>
      </c>
      <c r="C41" s="1100"/>
      <c r="D41" s="453">
        <f>SUM(D36:D40)</f>
        <v>0</v>
      </c>
      <c r="E41" s="453">
        <f aca="true" t="shared" si="4" ref="E41:AU41">SUM(E36:E40)</f>
        <v>0</v>
      </c>
      <c r="F41" s="453">
        <f t="shared" si="4"/>
        <v>1695</v>
      </c>
      <c r="G41" s="453">
        <f t="shared" si="4"/>
        <v>95.5</v>
      </c>
      <c r="H41" s="453">
        <f t="shared" si="4"/>
        <v>1</v>
      </c>
      <c r="I41" s="453">
        <f t="shared" si="4"/>
        <v>0</v>
      </c>
      <c r="J41" s="453">
        <f t="shared" si="4"/>
        <v>30</v>
      </c>
      <c r="K41" s="453">
        <f t="shared" si="4"/>
        <v>0.4</v>
      </c>
      <c r="L41" s="453">
        <f t="shared" si="4"/>
        <v>7</v>
      </c>
      <c r="M41" s="453">
        <f t="shared" si="4"/>
        <v>7</v>
      </c>
      <c r="N41" s="453">
        <f t="shared" si="4"/>
        <v>14</v>
      </c>
      <c r="O41" s="453">
        <f t="shared" si="4"/>
        <v>212.71</v>
      </c>
      <c r="P41" s="453">
        <f t="shared" si="4"/>
        <v>390</v>
      </c>
      <c r="Q41" s="453">
        <f t="shared" si="4"/>
        <v>181</v>
      </c>
      <c r="R41" s="453">
        <f t="shared" si="4"/>
        <v>150</v>
      </c>
      <c r="S41" s="453">
        <f t="shared" si="4"/>
        <v>3.17</v>
      </c>
      <c r="T41" s="453">
        <f t="shared" si="4"/>
        <v>0</v>
      </c>
      <c r="U41" s="453">
        <f t="shared" si="4"/>
        <v>0</v>
      </c>
      <c r="V41" s="453">
        <f t="shared" si="4"/>
        <v>0</v>
      </c>
      <c r="W41" s="453">
        <f t="shared" si="4"/>
        <v>0</v>
      </c>
      <c r="X41" s="453">
        <f t="shared" si="4"/>
        <v>1</v>
      </c>
      <c r="Y41" s="453">
        <f t="shared" si="4"/>
        <v>0</v>
      </c>
      <c r="Z41" s="453">
        <f t="shared" si="4"/>
        <v>30</v>
      </c>
      <c r="AA41" s="453">
        <f t="shared" si="4"/>
        <v>0.3</v>
      </c>
      <c r="AB41" s="453">
        <f t="shared" si="4"/>
        <v>738</v>
      </c>
      <c r="AC41" s="453">
        <f t="shared" si="4"/>
        <v>449</v>
      </c>
      <c r="AD41" s="453">
        <f t="shared" si="4"/>
        <v>340</v>
      </c>
      <c r="AE41" s="453">
        <f t="shared" si="4"/>
        <v>6.8</v>
      </c>
      <c r="AF41" s="453">
        <f t="shared" si="4"/>
        <v>200</v>
      </c>
      <c r="AG41" s="453">
        <f t="shared" si="4"/>
        <v>171</v>
      </c>
      <c r="AH41" s="453">
        <f t="shared" si="4"/>
        <v>100</v>
      </c>
      <c r="AI41" s="453">
        <f t="shared" si="4"/>
        <v>2.66</v>
      </c>
      <c r="AJ41" s="453">
        <f t="shared" si="4"/>
        <v>570</v>
      </c>
      <c r="AK41" s="453">
        <f t="shared" si="4"/>
        <v>253</v>
      </c>
      <c r="AL41" s="453">
        <f t="shared" si="4"/>
        <v>3000</v>
      </c>
      <c r="AM41" s="453">
        <f t="shared" si="4"/>
        <v>110.18</v>
      </c>
      <c r="AN41" s="453">
        <f t="shared" si="4"/>
        <v>300</v>
      </c>
      <c r="AO41" s="453">
        <f t="shared" si="4"/>
        <v>84</v>
      </c>
      <c r="AP41" s="453">
        <f t="shared" si="4"/>
        <v>300</v>
      </c>
      <c r="AQ41" s="453">
        <f t="shared" si="4"/>
        <v>6.58</v>
      </c>
      <c r="AR41" s="453">
        <f t="shared" si="4"/>
        <v>0</v>
      </c>
      <c r="AS41" s="453">
        <f t="shared" si="4"/>
        <v>0</v>
      </c>
      <c r="AT41" s="453">
        <f t="shared" si="4"/>
        <v>0</v>
      </c>
      <c r="AU41" s="453">
        <f t="shared" si="4"/>
        <v>0</v>
      </c>
      <c r="AV41" s="454"/>
      <c r="AW41" s="454"/>
      <c r="AX41" s="454"/>
      <c r="AY41" s="454"/>
      <c r="AZ41" s="455"/>
    </row>
    <row r="42" spans="1:52" s="516" customFormat="1" ht="42.75">
      <c r="A42" s="444" t="s">
        <v>1034</v>
      </c>
      <c r="B42" s="526" t="s">
        <v>1035</v>
      </c>
      <c r="C42" s="527" t="s">
        <v>1036</v>
      </c>
      <c r="D42" s="459"/>
      <c r="E42" s="459"/>
      <c r="F42" s="459"/>
      <c r="G42" s="459"/>
      <c r="H42" s="459"/>
      <c r="I42" s="459"/>
      <c r="J42" s="459"/>
      <c r="K42" s="459"/>
      <c r="L42" s="501">
        <v>1</v>
      </c>
      <c r="M42" s="501">
        <v>0</v>
      </c>
      <c r="N42" s="501">
        <v>25</v>
      </c>
      <c r="O42" s="501">
        <v>0.7</v>
      </c>
      <c r="P42" s="459"/>
      <c r="Q42" s="459"/>
      <c r="R42" s="459"/>
      <c r="S42" s="459"/>
      <c r="T42" s="459"/>
      <c r="U42" s="459"/>
      <c r="V42" s="459"/>
      <c r="W42" s="459"/>
      <c r="X42" s="528"/>
      <c r="Y42" s="528"/>
      <c r="Z42" s="528"/>
      <c r="AA42" s="528"/>
      <c r="AB42" s="528"/>
      <c r="AC42" s="528"/>
      <c r="AD42" s="528"/>
      <c r="AE42" s="528"/>
      <c r="AF42" s="528"/>
      <c r="AG42" s="528"/>
      <c r="AH42" s="528"/>
      <c r="AI42" s="528"/>
      <c r="AJ42" s="528"/>
      <c r="AK42" s="528"/>
      <c r="AL42" s="528"/>
      <c r="AM42" s="528"/>
      <c r="AN42" s="528"/>
      <c r="AO42" s="528"/>
      <c r="AP42" s="528"/>
      <c r="AQ42" s="528"/>
      <c r="AR42" s="431"/>
      <c r="AS42" s="431"/>
      <c r="AT42" s="431"/>
      <c r="AU42" s="431"/>
      <c r="AV42" s="431" t="s">
        <v>274</v>
      </c>
      <c r="AW42" s="431">
        <v>25</v>
      </c>
      <c r="AX42" s="431" t="s">
        <v>86</v>
      </c>
      <c r="AY42" s="431" t="s">
        <v>306</v>
      </c>
      <c r="AZ42" s="432" t="s">
        <v>610</v>
      </c>
    </row>
    <row r="43" spans="1:52" s="516" customFormat="1" ht="45">
      <c r="A43" s="434" t="s">
        <v>910</v>
      </c>
      <c r="B43" s="529" t="s">
        <v>1037</v>
      </c>
      <c r="C43" s="530" t="s">
        <v>1038</v>
      </c>
      <c r="D43" s="531"/>
      <c r="E43" s="481"/>
      <c r="F43" s="72">
        <v>30</v>
      </c>
      <c r="G43" s="72">
        <v>1.9</v>
      </c>
      <c r="H43" s="459"/>
      <c r="I43" s="459"/>
      <c r="J43" s="459"/>
      <c r="K43" s="459"/>
      <c r="L43" s="501"/>
      <c r="M43" s="501"/>
      <c r="N43" s="501"/>
      <c r="O43" s="501"/>
      <c r="P43" s="459"/>
      <c r="Q43" s="459"/>
      <c r="R43" s="459"/>
      <c r="S43" s="459"/>
      <c r="T43" s="459"/>
      <c r="U43" s="459"/>
      <c r="V43" s="459"/>
      <c r="W43" s="459"/>
      <c r="X43" s="528"/>
      <c r="Y43" s="528"/>
      <c r="Z43" s="528"/>
      <c r="AA43" s="528"/>
      <c r="AB43" s="528"/>
      <c r="AC43" s="528"/>
      <c r="AD43" s="528"/>
      <c r="AE43" s="528"/>
      <c r="AF43" s="528"/>
      <c r="AG43" s="528"/>
      <c r="AH43" s="528"/>
      <c r="AI43" s="528"/>
      <c r="AJ43" s="528"/>
      <c r="AK43" s="528"/>
      <c r="AL43" s="528"/>
      <c r="AM43" s="528"/>
      <c r="AN43" s="528"/>
      <c r="AO43" s="528"/>
      <c r="AP43" s="528"/>
      <c r="AQ43" s="528"/>
      <c r="AR43" s="528"/>
      <c r="AS43" s="528"/>
      <c r="AT43" s="528"/>
      <c r="AU43" s="528"/>
      <c r="AV43" s="431" t="s">
        <v>333</v>
      </c>
      <c r="AW43" s="528">
        <v>30</v>
      </c>
      <c r="AX43" s="442" t="s">
        <v>13</v>
      </c>
      <c r="AY43" s="431" t="s">
        <v>306</v>
      </c>
      <c r="AZ43" s="532" t="s">
        <v>1039</v>
      </c>
    </row>
    <row r="44" spans="1:52" s="516" customFormat="1" ht="15">
      <c r="A44" s="434" t="s">
        <v>1040</v>
      </c>
      <c r="B44" s="533" t="s">
        <v>1041</v>
      </c>
      <c r="C44" s="491" t="s">
        <v>33</v>
      </c>
      <c r="D44" s="534"/>
      <c r="E44" s="535"/>
      <c r="F44" s="72">
        <v>200</v>
      </c>
      <c r="G44" s="72">
        <v>1.62</v>
      </c>
      <c r="H44" s="459"/>
      <c r="I44" s="459"/>
      <c r="J44" s="459"/>
      <c r="K44" s="459"/>
      <c r="L44" s="501"/>
      <c r="M44" s="501"/>
      <c r="N44" s="501"/>
      <c r="O44" s="501"/>
      <c r="P44" s="459"/>
      <c r="Q44" s="459"/>
      <c r="R44" s="459"/>
      <c r="S44" s="459"/>
      <c r="T44" s="459"/>
      <c r="U44" s="459"/>
      <c r="V44" s="459"/>
      <c r="W44" s="459"/>
      <c r="X44" s="528"/>
      <c r="Y44" s="528"/>
      <c r="Z44" s="528"/>
      <c r="AA44" s="528"/>
      <c r="AB44" s="528"/>
      <c r="AC44" s="528"/>
      <c r="AD44" s="528"/>
      <c r="AE44" s="528"/>
      <c r="AF44" s="528"/>
      <c r="AG44" s="528"/>
      <c r="AH44" s="528"/>
      <c r="AI44" s="528"/>
      <c r="AJ44" s="528"/>
      <c r="AK44" s="528"/>
      <c r="AL44" s="528"/>
      <c r="AM44" s="528"/>
      <c r="AN44" s="528"/>
      <c r="AO44" s="528"/>
      <c r="AP44" s="528"/>
      <c r="AQ44" s="528"/>
      <c r="AR44" s="528"/>
      <c r="AS44" s="528"/>
      <c r="AT44" s="528"/>
      <c r="AU44" s="528"/>
      <c r="AV44" s="491" t="s">
        <v>333</v>
      </c>
      <c r="AW44" s="528">
        <v>25</v>
      </c>
      <c r="AX44" s="431" t="s">
        <v>1042</v>
      </c>
      <c r="AY44" s="431" t="s">
        <v>306</v>
      </c>
      <c r="AZ44" s="463" t="s">
        <v>564</v>
      </c>
    </row>
    <row r="45" spans="1:52" s="510" customFormat="1" ht="15">
      <c r="A45" s="452"/>
      <c r="B45" s="1099" t="s">
        <v>30</v>
      </c>
      <c r="C45" s="1100"/>
      <c r="D45" s="453">
        <f>SUM(D42:D44)</f>
        <v>0</v>
      </c>
      <c r="E45" s="453">
        <f aca="true" t="shared" si="5" ref="E45:AU45">SUM(E42:E44)</f>
        <v>0</v>
      </c>
      <c r="F45" s="453">
        <f t="shared" si="5"/>
        <v>230</v>
      </c>
      <c r="G45" s="453">
        <f t="shared" si="5"/>
        <v>3.52</v>
      </c>
      <c r="H45" s="453">
        <f t="shared" si="5"/>
        <v>0</v>
      </c>
      <c r="I45" s="453">
        <f t="shared" si="5"/>
        <v>0</v>
      </c>
      <c r="J45" s="453">
        <f t="shared" si="5"/>
        <v>0</v>
      </c>
      <c r="K45" s="453">
        <f t="shared" si="5"/>
        <v>0</v>
      </c>
      <c r="L45" s="453">
        <f t="shared" si="5"/>
        <v>1</v>
      </c>
      <c r="M45" s="453">
        <f t="shared" si="5"/>
        <v>0</v>
      </c>
      <c r="N45" s="453">
        <f t="shared" si="5"/>
        <v>25</v>
      </c>
      <c r="O45" s="453">
        <f t="shared" si="5"/>
        <v>0.7</v>
      </c>
      <c r="P45" s="453">
        <f t="shared" si="5"/>
        <v>0</v>
      </c>
      <c r="Q45" s="453">
        <f t="shared" si="5"/>
        <v>0</v>
      </c>
      <c r="R45" s="453">
        <f t="shared" si="5"/>
        <v>0</v>
      </c>
      <c r="S45" s="453">
        <f t="shared" si="5"/>
        <v>0</v>
      </c>
      <c r="T45" s="453">
        <f t="shared" si="5"/>
        <v>0</v>
      </c>
      <c r="U45" s="453">
        <f t="shared" si="5"/>
        <v>0</v>
      </c>
      <c r="V45" s="453">
        <f t="shared" si="5"/>
        <v>0</v>
      </c>
      <c r="W45" s="453">
        <f t="shared" si="5"/>
        <v>0</v>
      </c>
      <c r="X45" s="453">
        <f t="shared" si="5"/>
        <v>0</v>
      </c>
      <c r="Y45" s="453">
        <f t="shared" si="5"/>
        <v>0</v>
      </c>
      <c r="Z45" s="453">
        <f t="shared" si="5"/>
        <v>0</v>
      </c>
      <c r="AA45" s="453">
        <f t="shared" si="5"/>
        <v>0</v>
      </c>
      <c r="AB45" s="453">
        <f t="shared" si="5"/>
        <v>0</v>
      </c>
      <c r="AC45" s="453">
        <f t="shared" si="5"/>
        <v>0</v>
      </c>
      <c r="AD45" s="453">
        <f t="shared" si="5"/>
        <v>0</v>
      </c>
      <c r="AE45" s="453">
        <f t="shared" si="5"/>
        <v>0</v>
      </c>
      <c r="AF45" s="453">
        <f t="shared" si="5"/>
        <v>0</v>
      </c>
      <c r="AG45" s="453">
        <f t="shared" si="5"/>
        <v>0</v>
      </c>
      <c r="AH45" s="453">
        <f t="shared" si="5"/>
        <v>0</v>
      </c>
      <c r="AI45" s="453">
        <f t="shared" si="5"/>
        <v>0</v>
      </c>
      <c r="AJ45" s="453">
        <f t="shared" si="5"/>
        <v>0</v>
      </c>
      <c r="AK45" s="453">
        <f t="shared" si="5"/>
        <v>0</v>
      </c>
      <c r="AL45" s="453">
        <f t="shared" si="5"/>
        <v>0</v>
      </c>
      <c r="AM45" s="453">
        <f t="shared" si="5"/>
        <v>0</v>
      </c>
      <c r="AN45" s="453">
        <f t="shared" si="5"/>
        <v>0</v>
      </c>
      <c r="AO45" s="453">
        <f t="shared" si="5"/>
        <v>0</v>
      </c>
      <c r="AP45" s="453">
        <f t="shared" si="5"/>
        <v>0</v>
      </c>
      <c r="AQ45" s="453">
        <f t="shared" si="5"/>
        <v>0</v>
      </c>
      <c r="AR45" s="453">
        <f t="shared" si="5"/>
        <v>0</v>
      </c>
      <c r="AS45" s="453">
        <f t="shared" si="5"/>
        <v>0</v>
      </c>
      <c r="AT45" s="453">
        <f t="shared" si="5"/>
        <v>0</v>
      </c>
      <c r="AU45" s="453">
        <f t="shared" si="5"/>
        <v>0</v>
      </c>
      <c r="AV45" s="454"/>
      <c r="AW45" s="454"/>
      <c r="AX45" s="454"/>
      <c r="AY45" s="454"/>
      <c r="AZ45" s="455"/>
    </row>
    <row r="46" spans="1:52" s="489" customFormat="1" ht="15">
      <c r="A46" s="456" t="s">
        <v>134</v>
      </c>
      <c r="B46" s="1093" t="s">
        <v>135</v>
      </c>
      <c r="C46" s="1094"/>
      <c r="D46" s="1094"/>
      <c r="E46" s="1094"/>
      <c r="F46" s="1094"/>
      <c r="G46" s="1094"/>
      <c r="H46" s="1094"/>
      <c r="I46" s="1094"/>
      <c r="J46" s="1094"/>
      <c r="K46" s="1094"/>
      <c r="L46" s="1094"/>
      <c r="M46" s="1094"/>
      <c r="N46" s="1094"/>
      <c r="O46" s="1094"/>
      <c r="P46" s="1094"/>
      <c r="Q46" s="1094"/>
      <c r="R46" s="1094"/>
      <c r="S46" s="1094"/>
      <c r="T46" s="1094"/>
      <c r="U46" s="1094"/>
      <c r="V46" s="1094"/>
      <c r="W46" s="1094"/>
      <c r="X46" s="1094"/>
      <c r="Y46" s="1094"/>
      <c r="Z46" s="1094"/>
      <c r="AA46" s="1094"/>
      <c r="AB46" s="1094"/>
      <c r="AC46" s="1094"/>
      <c r="AD46" s="1094"/>
      <c r="AE46" s="1094"/>
      <c r="AF46" s="1094"/>
      <c r="AG46" s="1094"/>
      <c r="AH46" s="1094"/>
      <c r="AI46" s="1094"/>
      <c r="AJ46" s="1094"/>
      <c r="AK46" s="1094"/>
      <c r="AL46" s="1094"/>
      <c r="AM46" s="1094"/>
      <c r="AN46" s="1094"/>
      <c r="AO46" s="1094"/>
      <c r="AP46" s="1094"/>
      <c r="AQ46" s="1094"/>
      <c r="AR46" s="1094"/>
      <c r="AS46" s="1094"/>
      <c r="AT46" s="1094"/>
      <c r="AU46" s="1094"/>
      <c r="AV46" s="1094"/>
      <c r="AW46" s="1094"/>
      <c r="AX46" s="1094"/>
      <c r="AY46" s="1094"/>
      <c r="AZ46" s="1095"/>
    </row>
    <row r="47" spans="1:52" s="500" customFormat="1" ht="42.75">
      <c r="A47" s="458" t="s">
        <v>557</v>
      </c>
      <c r="B47" s="435" t="s">
        <v>32</v>
      </c>
      <c r="C47" s="445" t="s">
        <v>681</v>
      </c>
      <c r="D47" s="536"/>
      <c r="E47" s="536"/>
      <c r="F47" s="536"/>
      <c r="G47" s="537"/>
      <c r="H47" s="536">
        <v>30</v>
      </c>
      <c r="I47" s="536">
        <v>30</v>
      </c>
      <c r="J47" s="536">
        <v>30</v>
      </c>
      <c r="K47" s="537">
        <v>0.6</v>
      </c>
      <c r="L47" s="537"/>
      <c r="M47" s="537"/>
      <c r="N47" s="537"/>
      <c r="O47" s="537"/>
      <c r="P47" s="459"/>
      <c r="Q47" s="459"/>
      <c r="R47" s="459"/>
      <c r="S47" s="459"/>
      <c r="T47" s="459"/>
      <c r="U47" s="459"/>
      <c r="V47" s="459"/>
      <c r="W47" s="459"/>
      <c r="X47" s="435"/>
      <c r="Y47" s="435"/>
      <c r="Z47" s="435"/>
      <c r="AA47" s="435"/>
      <c r="AB47" s="435"/>
      <c r="AC47" s="435"/>
      <c r="AD47" s="435"/>
      <c r="AE47" s="435"/>
      <c r="AF47" s="435"/>
      <c r="AG47" s="435"/>
      <c r="AH47" s="435"/>
      <c r="AI47" s="435"/>
      <c r="AJ47" s="435"/>
      <c r="AK47" s="435"/>
      <c r="AL47" s="435"/>
      <c r="AM47" s="435"/>
      <c r="AN47" s="435"/>
      <c r="AO47" s="435"/>
      <c r="AP47" s="435"/>
      <c r="AQ47" s="435"/>
      <c r="AR47" s="435"/>
      <c r="AS47" s="435"/>
      <c r="AT47" s="435"/>
      <c r="AU47" s="435"/>
      <c r="AV47" s="431" t="s">
        <v>279</v>
      </c>
      <c r="AW47" s="442">
        <v>5</v>
      </c>
      <c r="AX47" s="431" t="s">
        <v>1043</v>
      </c>
      <c r="AY47" s="54" t="s">
        <v>555</v>
      </c>
      <c r="AZ47" s="432" t="s">
        <v>558</v>
      </c>
    </row>
    <row r="48" spans="1:52" s="500" customFormat="1" ht="30">
      <c r="A48" s="458" t="s">
        <v>557</v>
      </c>
      <c r="B48" s="538" t="s">
        <v>1044</v>
      </c>
      <c r="C48" s="436" t="s">
        <v>1045</v>
      </c>
      <c r="D48" s="536"/>
      <c r="E48" s="536"/>
      <c r="F48" s="536"/>
      <c r="G48" s="537"/>
      <c r="H48" s="536"/>
      <c r="I48" s="536"/>
      <c r="J48" s="536"/>
      <c r="K48" s="537"/>
      <c r="L48" s="537"/>
      <c r="M48" s="537"/>
      <c r="N48" s="537"/>
      <c r="O48" s="537"/>
      <c r="P48" s="459"/>
      <c r="Q48" s="459"/>
      <c r="R48" s="459"/>
      <c r="S48" s="459"/>
      <c r="T48" s="459"/>
      <c r="U48" s="459"/>
      <c r="V48" s="459"/>
      <c r="W48" s="459"/>
      <c r="X48" s="435"/>
      <c r="Y48" s="435"/>
      <c r="Z48" s="435"/>
      <c r="AA48" s="435"/>
      <c r="AB48" s="435"/>
      <c r="AC48" s="435"/>
      <c r="AD48" s="435"/>
      <c r="AE48" s="435"/>
      <c r="AF48" s="435"/>
      <c r="AG48" s="435"/>
      <c r="AH48" s="435"/>
      <c r="AI48" s="435"/>
      <c r="AJ48" s="435"/>
      <c r="AK48" s="435"/>
      <c r="AL48" s="435"/>
      <c r="AM48" s="435"/>
      <c r="AN48" s="431"/>
      <c r="AO48" s="431"/>
      <c r="AP48" s="442">
        <v>720</v>
      </c>
      <c r="AQ48" s="431">
        <v>52.41</v>
      </c>
      <c r="AR48" s="435"/>
      <c r="AS48" s="435"/>
      <c r="AT48" s="435"/>
      <c r="AU48" s="435"/>
      <c r="AV48" s="431" t="s">
        <v>12</v>
      </c>
      <c r="AW48" s="442">
        <v>24</v>
      </c>
      <c r="AX48" s="539" t="s">
        <v>306</v>
      </c>
      <c r="AY48" s="491" t="s">
        <v>1046</v>
      </c>
      <c r="AZ48" s="432" t="s">
        <v>1047</v>
      </c>
    </row>
    <row r="49" spans="1:52" s="500" customFormat="1" ht="30">
      <c r="A49" s="458" t="s">
        <v>557</v>
      </c>
      <c r="B49" s="439" t="s">
        <v>1048</v>
      </c>
      <c r="C49" s="445" t="s">
        <v>1049</v>
      </c>
      <c r="D49" s="459"/>
      <c r="E49" s="459"/>
      <c r="F49" s="459"/>
      <c r="G49" s="459"/>
      <c r="H49" s="459"/>
      <c r="I49" s="459"/>
      <c r="J49" s="459"/>
      <c r="K49" s="459"/>
      <c r="L49" s="459"/>
      <c r="M49" s="459"/>
      <c r="N49" s="459"/>
      <c r="O49" s="459"/>
      <c r="P49" s="459"/>
      <c r="Q49" s="459"/>
      <c r="R49" s="459"/>
      <c r="S49" s="459"/>
      <c r="T49" s="459"/>
      <c r="U49" s="459"/>
      <c r="V49" s="459"/>
      <c r="W49" s="459"/>
      <c r="X49" s="435"/>
      <c r="Y49" s="435"/>
      <c r="Z49" s="435"/>
      <c r="AA49" s="435"/>
      <c r="AB49" s="435"/>
      <c r="AC49" s="435"/>
      <c r="AD49" s="435"/>
      <c r="AE49" s="435"/>
      <c r="AF49" s="442">
        <v>24</v>
      </c>
      <c r="AG49" s="431">
        <v>0</v>
      </c>
      <c r="AH49" s="483" t="s">
        <v>1007</v>
      </c>
      <c r="AI49" s="442">
        <v>5.06</v>
      </c>
      <c r="AJ49" s="442"/>
      <c r="AK49" s="442"/>
      <c r="AL49" s="442"/>
      <c r="AM49" s="442"/>
      <c r="AN49" s="442"/>
      <c r="AO49" s="442"/>
      <c r="AP49" s="442"/>
      <c r="AQ49" s="442"/>
      <c r="AR49" s="435"/>
      <c r="AS49" s="435"/>
      <c r="AT49" s="435"/>
      <c r="AU49" s="435"/>
      <c r="AV49" s="431" t="s">
        <v>23</v>
      </c>
      <c r="AW49" s="442">
        <v>24</v>
      </c>
      <c r="AX49" s="431" t="s">
        <v>306</v>
      </c>
      <c r="AY49" s="54" t="s">
        <v>297</v>
      </c>
      <c r="AZ49" s="432" t="s">
        <v>328</v>
      </c>
    </row>
    <row r="50" spans="1:52" s="500" customFormat="1" ht="15">
      <c r="A50" s="540"/>
      <c r="B50" s="439" t="s">
        <v>636</v>
      </c>
      <c r="C50" s="445" t="s">
        <v>33</v>
      </c>
      <c r="D50" s="459"/>
      <c r="E50" s="459"/>
      <c r="F50" s="459"/>
      <c r="G50" s="459"/>
      <c r="H50" s="459"/>
      <c r="I50" s="459"/>
      <c r="J50" s="459"/>
      <c r="K50" s="459"/>
      <c r="L50" s="459"/>
      <c r="M50" s="459"/>
      <c r="N50" s="459"/>
      <c r="O50" s="459"/>
      <c r="P50" s="459"/>
      <c r="Q50" s="459"/>
      <c r="R50" s="459"/>
      <c r="S50" s="459"/>
      <c r="T50" s="459"/>
      <c r="U50" s="459"/>
      <c r="V50" s="459"/>
      <c r="W50" s="459"/>
      <c r="X50" s="435"/>
      <c r="Y50" s="435"/>
      <c r="Z50" s="435"/>
      <c r="AA50" s="435"/>
      <c r="AB50" s="435"/>
      <c r="AC50" s="435">
        <v>380</v>
      </c>
      <c r="AD50" s="435"/>
      <c r="AE50" s="435"/>
      <c r="AF50" s="442"/>
      <c r="AG50" s="431"/>
      <c r="AH50" s="483"/>
      <c r="AI50" s="442"/>
      <c r="AJ50" s="442"/>
      <c r="AK50" s="442"/>
      <c r="AL50" s="442"/>
      <c r="AM50" s="442"/>
      <c r="AN50" s="442"/>
      <c r="AO50" s="442"/>
      <c r="AP50" s="442"/>
      <c r="AQ50" s="442"/>
      <c r="AR50" s="435"/>
      <c r="AS50" s="435"/>
      <c r="AT50" s="435"/>
      <c r="AU50" s="435"/>
      <c r="AV50" s="431" t="s">
        <v>15</v>
      </c>
      <c r="AW50" s="442">
        <v>30</v>
      </c>
      <c r="AX50" s="431" t="s">
        <v>1050</v>
      </c>
      <c r="AY50" s="431" t="s">
        <v>306</v>
      </c>
      <c r="AZ50" s="432" t="s">
        <v>1027</v>
      </c>
    </row>
    <row r="51" spans="1:52" s="500" customFormat="1" ht="15">
      <c r="A51" s="458" t="s">
        <v>557</v>
      </c>
      <c r="B51" s="435" t="s">
        <v>1051</v>
      </c>
      <c r="C51" s="445" t="s">
        <v>1052</v>
      </c>
      <c r="D51" s="459"/>
      <c r="E51" s="459"/>
      <c r="F51" s="459"/>
      <c r="G51" s="459"/>
      <c r="H51" s="459"/>
      <c r="I51" s="459"/>
      <c r="J51" s="459"/>
      <c r="K51" s="459"/>
      <c r="L51" s="428">
        <v>60</v>
      </c>
      <c r="M51" s="428">
        <v>48</v>
      </c>
      <c r="N51" s="428">
        <v>1000</v>
      </c>
      <c r="O51" s="428">
        <v>8.58</v>
      </c>
      <c r="P51" s="459"/>
      <c r="Q51" s="459"/>
      <c r="R51" s="459"/>
      <c r="S51" s="459"/>
      <c r="T51" s="496">
        <v>900</v>
      </c>
      <c r="U51" s="496">
        <v>989</v>
      </c>
      <c r="V51" s="497">
        <v>3000</v>
      </c>
      <c r="W51" s="498">
        <v>58.91</v>
      </c>
      <c r="X51" s="435"/>
      <c r="Y51" s="435"/>
      <c r="Z51" s="435"/>
      <c r="AA51" s="435"/>
      <c r="AB51" s="54">
        <v>1230</v>
      </c>
      <c r="AC51" s="431">
        <v>825</v>
      </c>
      <c r="AD51" s="54">
        <f>'[1]Maternal Health'!I22*'[1]Maternal Health'!J22</f>
        <v>920</v>
      </c>
      <c r="AE51" s="431">
        <v>11.04</v>
      </c>
      <c r="AF51" s="435"/>
      <c r="AG51" s="435"/>
      <c r="AH51" s="435"/>
      <c r="AI51" s="435"/>
      <c r="AJ51" s="435"/>
      <c r="AK51" s="435"/>
      <c r="AL51" s="435"/>
      <c r="AM51" s="435"/>
      <c r="AN51" s="435"/>
      <c r="AO51" s="435"/>
      <c r="AP51" s="435"/>
      <c r="AQ51" s="435"/>
      <c r="AR51" s="435"/>
      <c r="AS51" s="435"/>
      <c r="AT51" s="435"/>
      <c r="AU51" s="435"/>
      <c r="AV51" s="433" t="s">
        <v>37</v>
      </c>
      <c r="AW51" s="442">
        <v>25</v>
      </c>
      <c r="AX51" s="433" t="s">
        <v>297</v>
      </c>
      <c r="AY51" s="54" t="s">
        <v>555</v>
      </c>
      <c r="AZ51" s="432" t="s">
        <v>558</v>
      </c>
    </row>
    <row r="52" spans="1:52" s="489" customFormat="1" ht="75">
      <c r="A52" s="461" t="s">
        <v>640</v>
      </c>
      <c r="B52" s="462" t="s">
        <v>639</v>
      </c>
      <c r="C52" s="442" t="s">
        <v>638</v>
      </c>
      <c r="D52" s="442"/>
      <c r="E52" s="442"/>
      <c r="F52" s="442"/>
      <c r="G52" s="442"/>
      <c r="H52" s="442"/>
      <c r="I52" s="442"/>
      <c r="J52" s="442"/>
      <c r="K52" s="442"/>
      <c r="L52" s="442"/>
      <c r="M52" s="442"/>
      <c r="N52" s="442"/>
      <c r="O52" s="442"/>
      <c r="P52" s="442"/>
      <c r="Q52" s="442"/>
      <c r="R52" s="442"/>
      <c r="S52" s="442"/>
      <c r="T52" s="442"/>
      <c r="U52" s="442"/>
      <c r="V52" s="442"/>
      <c r="W52" s="442"/>
      <c r="X52" s="54"/>
      <c r="Y52" s="54"/>
      <c r="Z52" s="54"/>
      <c r="AA52" s="54"/>
      <c r="AB52" s="54"/>
      <c r="AC52" s="54"/>
      <c r="AD52" s="54"/>
      <c r="AE52" s="54"/>
      <c r="AF52" s="54"/>
      <c r="AG52" s="431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>
        <v>500</v>
      </c>
      <c r="AS52" s="54">
        <v>0</v>
      </c>
      <c r="AT52" s="54">
        <v>500</v>
      </c>
      <c r="AU52" s="54">
        <v>27.5</v>
      </c>
      <c r="AV52" s="54" t="s">
        <v>37</v>
      </c>
      <c r="AW52" s="431" t="s">
        <v>1053</v>
      </c>
      <c r="AX52" s="442" t="s">
        <v>643</v>
      </c>
      <c r="AY52" s="442" t="s">
        <v>306</v>
      </c>
      <c r="AZ52" s="463" t="s">
        <v>641</v>
      </c>
    </row>
    <row r="53" spans="1:52" s="489" customFormat="1" ht="30">
      <c r="A53" s="461" t="s">
        <v>640</v>
      </c>
      <c r="B53" s="439" t="s">
        <v>1054</v>
      </c>
      <c r="C53" s="442" t="s">
        <v>22</v>
      </c>
      <c r="D53" s="442"/>
      <c r="E53" s="442"/>
      <c r="F53" s="442"/>
      <c r="G53" s="442"/>
      <c r="H53" s="442"/>
      <c r="I53" s="442"/>
      <c r="J53" s="442"/>
      <c r="K53" s="442"/>
      <c r="L53" s="501">
        <v>2</v>
      </c>
      <c r="M53" s="501">
        <v>0</v>
      </c>
      <c r="N53" s="501">
        <v>8</v>
      </c>
      <c r="O53" s="501">
        <v>0.6</v>
      </c>
      <c r="P53" s="442"/>
      <c r="Q53" s="442"/>
      <c r="R53" s="442"/>
      <c r="S53" s="442"/>
      <c r="T53" s="442"/>
      <c r="U53" s="442"/>
      <c r="V53" s="442"/>
      <c r="W53" s="442"/>
      <c r="X53" s="54"/>
      <c r="Y53" s="54"/>
      <c r="Z53" s="54"/>
      <c r="AA53" s="54"/>
      <c r="AB53" s="54"/>
      <c r="AC53" s="54"/>
      <c r="AD53" s="54"/>
      <c r="AE53" s="54"/>
      <c r="AF53" s="442">
        <f>25*4</f>
        <v>100</v>
      </c>
      <c r="AG53" s="431">
        <v>0</v>
      </c>
      <c r="AH53" s="442">
        <v>16</v>
      </c>
      <c r="AI53" s="442">
        <v>16.33</v>
      </c>
      <c r="AJ53" s="442"/>
      <c r="AK53" s="442"/>
      <c r="AL53" s="442"/>
      <c r="AM53" s="442"/>
      <c r="AN53" s="442"/>
      <c r="AO53" s="442"/>
      <c r="AP53" s="442"/>
      <c r="AQ53" s="442"/>
      <c r="AR53" s="54"/>
      <c r="AS53" s="54"/>
      <c r="AT53" s="54"/>
      <c r="AU53" s="54"/>
      <c r="AV53" s="442" t="s">
        <v>1055</v>
      </c>
      <c r="AW53" s="431">
        <v>4</v>
      </c>
      <c r="AX53" s="442" t="s">
        <v>72</v>
      </c>
      <c r="AY53" s="442" t="s">
        <v>1056</v>
      </c>
      <c r="AZ53" s="451" t="s">
        <v>306</v>
      </c>
    </row>
    <row r="54" spans="1:52" s="489" customFormat="1" ht="30">
      <c r="A54" s="461" t="s">
        <v>640</v>
      </c>
      <c r="B54" s="462" t="s">
        <v>777</v>
      </c>
      <c r="C54" s="442" t="s">
        <v>778</v>
      </c>
      <c r="D54" s="442"/>
      <c r="E54" s="442"/>
      <c r="F54" s="442"/>
      <c r="G54" s="442"/>
      <c r="H54" s="442"/>
      <c r="I54" s="442"/>
      <c r="J54" s="442"/>
      <c r="K54" s="442"/>
      <c r="L54" s="442"/>
      <c r="M54" s="442"/>
      <c r="N54" s="442"/>
      <c r="O54" s="442"/>
      <c r="P54" s="442"/>
      <c r="Q54" s="442"/>
      <c r="R54" s="442"/>
      <c r="S54" s="442"/>
      <c r="T54" s="442"/>
      <c r="U54" s="442"/>
      <c r="V54" s="442"/>
      <c r="W54" s="442"/>
      <c r="X54" s="54"/>
      <c r="Y54" s="54"/>
      <c r="Z54" s="54"/>
      <c r="AA54" s="54"/>
      <c r="AB54" s="54"/>
      <c r="AC54" s="54"/>
      <c r="AD54" s="54"/>
      <c r="AE54" s="54"/>
      <c r="AF54" s="54"/>
      <c r="AG54" s="431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 t="s">
        <v>12</v>
      </c>
      <c r="AW54" s="431" t="s">
        <v>49</v>
      </c>
      <c r="AX54" s="442" t="s">
        <v>610</v>
      </c>
      <c r="AY54" s="442" t="s">
        <v>548</v>
      </c>
      <c r="AZ54" s="451" t="s">
        <v>610</v>
      </c>
    </row>
    <row r="55" spans="1:52" s="489" customFormat="1" ht="15">
      <c r="A55" s="461" t="s">
        <v>640</v>
      </c>
      <c r="B55" s="462" t="s">
        <v>1057</v>
      </c>
      <c r="C55" s="445" t="s">
        <v>39</v>
      </c>
      <c r="D55" s="445"/>
      <c r="E55" s="445"/>
      <c r="F55" s="445"/>
      <c r="G55" s="445"/>
      <c r="H55" s="445"/>
      <c r="I55" s="445"/>
      <c r="J55" s="445"/>
      <c r="K55" s="445"/>
      <c r="L55" s="445"/>
      <c r="M55" s="445"/>
      <c r="N55" s="445"/>
      <c r="O55" s="445"/>
      <c r="P55" s="445"/>
      <c r="Q55" s="445"/>
      <c r="R55" s="445"/>
      <c r="S55" s="445"/>
      <c r="T55" s="496">
        <v>1050</v>
      </c>
      <c r="U55" s="496">
        <v>1684</v>
      </c>
      <c r="V55" s="497">
        <v>3000</v>
      </c>
      <c r="W55" s="498">
        <v>58.91</v>
      </c>
      <c r="X55" s="54"/>
      <c r="Y55" s="54"/>
      <c r="Z55" s="54"/>
      <c r="AA55" s="54"/>
      <c r="AB55" s="54"/>
      <c r="AC55" s="54"/>
      <c r="AD55" s="54"/>
      <c r="AE55" s="54"/>
      <c r="AF55" s="54"/>
      <c r="AG55" s="431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 t="s">
        <v>685</v>
      </c>
      <c r="AW55" s="431">
        <v>30</v>
      </c>
      <c r="AX55" s="442" t="s">
        <v>686</v>
      </c>
      <c r="AY55" s="442" t="s">
        <v>306</v>
      </c>
      <c r="AZ55" s="463" t="s">
        <v>306</v>
      </c>
    </row>
    <row r="56" spans="1:52" s="489" customFormat="1" ht="15">
      <c r="A56" s="434" t="s">
        <v>136</v>
      </c>
      <c r="B56" s="435" t="s">
        <v>1031</v>
      </c>
      <c r="C56" s="431" t="s">
        <v>34</v>
      </c>
      <c r="D56" s="431"/>
      <c r="E56" s="431"/>
      <c r="F56" s="431"/>
      <c r="G56" s="431"/>
      <c r="H56" s="431"/>
      <c r="I56" s="431"/>
      <c r="J56" s="431"/>
      <c r="K56" s="431"/>
      <c r="L56" s="431"/>
      <c r="M56" s="431"/>
      <c r="N56" s="431"/>
      <c r="O56" s="431"/>
      <c r="P56" s="431"/>
      <c r="Q56" s="431"/>
      <c r="R56" s="431"/>
      <c r="S56" s="431"/>
      <c r="T56" s="431"/>
      <c r="U56" s="431"/>
      <c r="V56" s="431"/>
      <c r="W56" s="431"/>
      <c r="X56" s="54"/>
      <c r="Y56" s="54"/>
      <c r="Z56" s="54"/>
      <c r="AA56" s="54"/>
      <c r="AB56" s="66">
        <v>199</v>
      </c>
      <c r="AC56" s="431">
        <v>78</v>
      </c>
      <c r="AD56" s="54"/>
      <c r="AE56" s="54"/>
      <c r="AF56" s="54"/>
      <c r="AG56" s="431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 t="s">
        <v>333</v>
      </c>
      <c r="AW56" s="431" t="s">
        <v>862</v>
      </c>
      <c r="AX56" s="431" t="s">
        <v>1058</v>
      </c>
      <c r="AY56" s="431" t="s">
        <v>306</v>
      </c>
      <c r="AZ56" s="432" t="s">
        <v>1033</v>
      </c>
    </row>
    <row r="57" spans="1:52" s="500" customFormat="1" ht="15">
      <c r="A57" s="434" t="s">
        <v>136</v>
      </c>
      <c r="B57" s="435" t="s">
        <v>1059</v>
      </c>
      <c r="C57" s="445" t="s">
        <v>1060</v>
      </c>
      <c r="D57" s="445"/>
      <c r="E57" s="445"/>
      <c r="F57" s="445"/>
      <c r="G57" s="445"/>
      <c r="H57" s="445"/>
      <c r="I57" s="445"/>
      <c r="J57" s="445"/>
      <c r="K57" s="445"/>
      <c r="L57" s="501">
        <v>107</v>
      </c>
      <c r="M57" s="501">
        <v>143</v>
      </c>
      <c r="N57" s="501">
        <v>180</v>
      </c>
      <c r="O57" s="501">
        <v>36</v>
      </c>
      <c r="P57" s="445"/>
      <c r="Q57" s="445"/>
      <c r="R57" s="445"/>
      <c r="S57" s="445"/>
      <c r="T57" s="445"/>
      <c r="U57" s="445"/>
      <c r="V57" s="445"/>
      <c r="W57" s="445"/>
      <c r="X57" s="54"/>
      <c r="Y57" s="54"/>
      <c r="Z57" s="54"/>
      <c r="AA57" s="54"/>
      <c r="AB57" s="54"/>
      <c r="AC57" s="54"/>
      <c r="AD57" s="54"/>
      <c r="AE57" s="54"/>
      <c r="AF57" s="54"/>
      <c r="AG57" s="431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431"/>
      <c r="AW57" s="431"/>
      <c r="AX57" s="431"/>
      <c r="AY57" s="431"/>
      <c r="AZ57" s="432"/>
    </row>
    <row r="58" spans="1:52" s="500" customFormat="1" ht="30">
      <c r="A58" s="434" t="s">
        <v>774</v>
      </c>
      <c r="B58" s="435" t="s">
        <v>1061</v>
      </c>
      <c r="C58" s="445" t="s">
        <v>675</v>
      </c>
      <c r="D58" s="442">
        <v>40</v>
      </c>
      <c r="E58" s="431"/>
      <c r="F58" s="442">
        <v>40</v>
      </c>
      <c r="G58" s="442">
        <v>1.2</v>
      </c>
      <c r="H58" s="445"/>
      <c r="I58" s="445"/>
      <c r="J58" s="445"/>
      <c r="K58" s="445"/>
      <c r="L58" s="54">
        <v>1</v>
      </c>
      <c r="M58" s="54">
        <v>0</v>
      </c>
      <c r="N58" s="54">
        <v>1</v>
      </c>
      <c r="O58" s="54">
        <v>3</v>
      </c>
      <c r="P58" s="445"/>
      <c r="Q58" s="445"/>
      <c r="R58" s="445"/>
      <c r="S58" s="445"/>
      <c r="T58" s="445"/>
      <c r="U58" s="445"/>
      <c r="V58" s="445"/>
      <c r="W58" s="445"/>
      <c r="X58" s="54"/>
      <c r="Y58" s="54"/>
      <c r="Z58" s="54"/>
      <c r="AA58" s="54"/>
      <c r="AB58" s="54"/>
      <c r="AC58" s="54"/>
      <c r="AD58" s="54"/>
      <c r="AE58" s="54"/>
      <c r="AF58" s="54"/>
      <c r="AG58" s="431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431" t="s">
        <v>15</v>
      </c>
      <c r="AW58" s="431" t="s">
        <v>1062</v>
      </c>
      <c r="AX58" s="431" t="s">
        <v>320</v>
      </c>
      <c r="AY58" s="431" t="s">
        <v>306</v>
      </c>
      <c r="AZ58" s="432" t="s">
        <v>1063</v>
      </c>
    </row>
    <row r="59" spans="1:52" s="489" customFormat="1" ht="30">
      <c r="A59" s="434" t="s">
        <v>784</v>
      </c>
      <c r="B59" s="435" t="s">
        <v>785</v>
      </c>
      <c r="C59" s="431" t="s">
        <v>1064</v>
      </c>
      <c r="D59" s="431"/>
      <c r="E59" s="431"/>
      <c r="F59" s="431"/>
      <c r="G59" s="431"/>
      <c r="H59" s="431"/>
      <c r="I59" s="431"/>
      <c r="J59" s="431"/>
      <c r="K59" s="431"/>
      <c r="L59" s="431"/>
      <c r="M59" s="431"/>
      <c r="N59" s="431"/>
      <c r="O59" s="431"/>
      <c r="P59" s="431"/>
      <c r="Q59" s="431"/>
      <c r="R59" s="431"/>
      <c r="S59" s="431"/>
      <c r="T59" s="496">
        <v>10</v>
      </c>
      <c r="U59" s="496">
        <v>0</v>
      </c>
      <c r="V59" s="431"/>
      <c r="W59" s="431"/>
      <c r="X59" s="54"/>
      <c r="Y59" s="54"/>
      <c r="Z59" s="541">
        <v>30</v>
      </c>
      <c r="AA59" s="541">
        <v>1.13</v>
      </c>
      <c r="AB59" s="66">
        <v>155</v>
      </c>
      <c r="AC59" s="431">
        <v>91</v>
      </c>
      <c r="AD59" s="541"/>
      <c r="AE59" s="541"/>
      <c r="AF59" s="541"/>
      <c r="AG59" s="541"/>
      <c r="AH59" s="541"/>
      <c r="AI59" s="541"/>
      <c r="AJ59" s="442">
        <v>240</v>
      </c>
      <c r="AK59" s="542">
        <v>218</v>
      </c>
      <c r="AL59" s="442">
        <v>120</v>
      </c>
      <c r="AM59" s="499">
        <v>3.09</v>
      </c>
      <c r="AN59" s="541"/>
      <c r="AO59" s="541"/>
      <c r="AP59" s="541"/>
      <c r="AQ59" s="541"/>
      <c r="AR59" s="54">
        <v>2120</v>
      </c>
      <c r="AS59" s="54">
        <v>0</v>
      </c>
      <c r="AT59" s="54"/>
      <c r="AU59" s="54"/>
      <c r="AV59" s="431" t="s">
        <v>786</v>
      </c>
      <c r="AW59" s="431">
        <v>30</v>
      </c>
      <c r="AX59" s="431" t="s">
        <v>610</v>
      </c>
      <c r="AY59" s="431" t="s">
        <v>548</v>
      </c>
      <c r="AZ59" s="432" t="s">
        <v>610</v>
      </c>
    </row>
    <row r="60" spans="1:52" s="489" customFormat="1" ht="28.5">
      <c r="A60" s="444" t="s">
        <v>137</v>
      </c>
      <c r="B60" s="435" t="s">
        <v>1065</v>
      </c>
      <c r="C60" s="431" t="s">
        <v>699</v>
      </c>
      <c r="D60" s="431"/>
      <c r="E60" s="431"/>
      <c r="F60" s="431"/>
      <c r="G60" s="431"/>
      <c r="H60" s="431"/>
      <c r="I60" s="431"/>
      <c r="J60" s="431"/>
      <c r="K60" s="431"/>
      <c r="L60" s="431"/>
      <c r="M60" s="431"/>
      <c r="N60" s="431"/>
      <c r="O60" s="431"/>
      <c r="P60" s="431"/>
      <c r="Q60" s="431"/>
      <c r="R60" s="431"/>
      <c r="S60" s="431"/>
      <c r="T60" s="496">
        <v>6000</v>
      </c>
      <c r="U60" s="496">
        <v>6173</v>
      </c>
      <c r="V60" s="497">
        <v>3750</v>
      </c>
      <c r="W60" s="498">
        <v>42.04</v>
      </c>
      <c r="X60" s="54"/>
      <c r="Y60" s="54"/>
      <c r="Z60" s="54"/>
      <c r="AA60" s="54"/>
      <c r="AB60" s="54"/>
      <c r="AC60" s="54"/>
      <c r="AD60" s="54"/>
      <c r="AE60" s="54"/>
      <c r="AF60" s="54"/>
      <c r="AG60" s="431"/>
      <c r="AH60" s="54"/>
      <c r="AI60" s="54"/>
      <c r="AJ60" s="442">
        <v>840</v>
      </c>
      <c r="AK60" s="442">
        <v>465</v>
      </c>
      <c r="AL60" s="442">
        <v>1290</v>
      </c>
      <c r="AM60" s="499">
        <v>37.13</v>
      </c>
      <c r="AN60" s="54"/>
      <c r="AO60" s="54"/>
      <c r="AP60" s="54"/>
      <c r="AQ60" s="54"/>
      <c r="AR60" s="54"/>
      <c r="AS60" s="54"/>
      <c r="AT60" s="54"/>
      <c r="AU60" s="54"/>
      <c r="AV60" s="431" t="s">
        <v>12</v>
      </c>
      <c r="AW60" s="431">
        <v>50</v>
      </c>
      <c r="AX60" s="431" t="s">
        <v>1066</v>
      </c>
      <c r="AY60" s="431" t="s">
        <v>548</v>
      </c>
      <c r="AZ60" s="432" t="s">
        <v>313</v>
      </c>
    </row>
    <row r="61" spans="1:52" s="489" customFormat="1" ht="42.75">
      <c r="A61" s="444" t="s">
        <v>137</v>
      </c>
      <c r="B61" s="440" t="s">
        <v>1067</v>
      </c>
      <c r="C61" s="445" t="s">
        <v>675</v>
      </c>
      <c r="D61" s="460"/>
      <c r="E61" s="460"/>
      <c r="F61" s="431"/>
      <c r="G61" s="431"/>
      <c r="H61" s="431"/>
      <c r="I61" s="431"/>
      <c r="J61" s="431"/>
      <c r="K61" s="431"/>
      <c r="L61" s="431"/>
      <c r="M61" s="431"/>
      <c r="N61" s="431"/>
      <c r="O61" s="431"/>
      <c r="P61" s="431"/>
      <c r="Q61" s="431"/>
      <c r="R61" s="431"/>
      <c r="S61" s="431"/>
      <c r="T61" s="496"/>
      <c r="U61" s="496"/>
      <c r="V61" s="497"/>
      <c r="W61" s="498"/>
      <c r="X61" s="54"/>
      <c r="Y61" s="54"/>
      <c r="Z61" s="54"/>
      <c r="AA61" s="54"/>
      <c r="AB61" s="54"/>
      <c r="AC61" s="54"/>
      <c r="AD61" s="54"/>
      <c r="AE61" s="54"/>
      <c r="AF61" s="54"/>
      <c r="AG61" s="431"/>
      <c r="AH61" s="54"/>
      <c r="AI61" s="54"/>
      <c r="AJ61" s="442"/>
      <c r="AK61" s="442"/>
      <c r="AL61" s="442"/>
      <c r="AM61" s="499"/>
      <c r="AN61" s="431"/>
      <c r="AO61" s="431"/>
      <c r="AP61" s="431">
        <v>60</v>
      </c>
      <c r="AQ61" s="54">
        <v>2.58</v>
      </c>
      <c r="AR61" s="431"/>
      <c r="AS61" s="54"/>
      <c r="AT61" s="54"/>
      <c r="AU61" s="54"/>
      <c r="AV61" s="431" t="s">
        <v>37</v>
      </c>
      <c r="AW61" s="431">
        <v>30</v>
      </c>
      <c r="AX61" s="539" t="s">
        <v>306</v>
      </c>
      <c r="AY61" s="431" t="s">
        <v>1068</v>
      </c>
      <c r="AZ61" s="463" t="s">
        <v>1069</v>
      </c>
    </row>
    <row r="62" spans="1:52" s="489" customFormat="1" ht="45">
      <c r="A62" s="444" t="s">
        <v>138</v>
      </c>
      <c r="B62" s="435" t="s">
        <v>1070</v>
      </c>
      <c r="C62" s="431" t="s">
        <v>1071</v>
      </c>
      <c r="D62" s="534"/>
      <c r="E62" s="535"/>
      <c r="F62" s="433">
        <v>8</v>
      </c>
      <c r="G62" s="72">
        <v>0.37</v>
      </c>
      <c r="H62" s="431"/>
      <c r="I62" s="431"/>
      <c r="J62" s="431"/>
      <c r="K62" s="431"/>
      <c r="L62" s="431"/>
      <c r="M62" s="431"/>
      <c r="N62" s="431"/>
      <c r="O62" s="431"/>
      <c r="P62" s="431"/>
      <c r="Q62" s="431"/>
      <c r="R62" s="431"/>
      <c r="S62" s="431"/>
      <c r="T62" s="431"/>
      <c r="U62" s="431"/>
      <c r="V62" s="431"/>
      <c r="W62" s="431"/>
      <c r="X62" s="54"/>
      <c r="Y62" s="54"/>
      <c r="Z62" s="54"/>
      <c r="AA62" s="54"/>
      <c r="AB62" s="433">
        <v>1230</v>
      </c>
      <c r="AC62" s="442">
        <v>0</v>
      </c>
      <c r="AD62" s="54"/>
      <c r="AE62" s="54"/>
      <c r="AF62" s="54"/>
      <c r="AG62" s="431"/>
      <c r="AH62" s="54"/>
      <c r="AI62" s="54"/>
      <c r="AJ62" s="442">
        <v>510</v>
      </c>
      <c r="AK62" s="523">
        <v>177</v>
      </c>
      <c r="AL62" s="442">
        <v>90</v>
      </c>
      <c r="AM62" s="442">
        <v>3.64</v>
      </c>
      <c r="AN62" s="431"/>
      <c r="AO62" s="431"/>
      <c r="AP62" s="431">
        <v>600</v>
      </c>
      <c r="AQ62" s="54">
        <v>8.62</v>
      </c>
      <c r="AR62" s="54"/>
      <c r="AS62" s="54"/>
      <c r="AT62" s="54"/>
      <c r="AU62" s="54"/>
      <c r="AV62" s="431" t="s">
        <v>15</v>
      </c>
      <c r="AW62" s="431">
        <v>50</v>
      </c>
      <c r="AX62" s="431" t="s">
        <v>311</v>
      </c>
      <c r="AY62" s="431" t="s">
        <v>548</v>
      </c>
      <c r="AZ62" s="432" t="s">
        <v>313</v>
      </c>
    </row>
    <row r="63" spans="1:52" s="489" customFormat="1" ht="99.75">
      <c r="A63" s="444" t="s">
        <v>691</v>
      </c>
      <c r="B63" s="435" t="s">
        <v>1072</v>
      </c>
      <c r="C63" s="431" t="s">
        <v>693</v>
      </c>
      <c r="D63" s="534"/>
      <c r="E63" s="535"/>
      <c r="F63" s="433">
        <v>156</v>
      </c>
      <c r="G63" s="72">
        <v>34.09</v>
      </c>
      <c r="H63" s="431"/>
      <c r="I63" s="431"/>
      <c r="J63" s="431"/>
      <c r="K63" s="431"/>
      <c r="L63" s="431"/>
      <c r="M63" s="431"/>
      <c r="N63" s="431"/>
      <c r="O63" s="431"/>
      <c r="P63" s="431"/>
      <c r="Q63" s="431"/>
      <c r="R63" s="431"/>
      <c r="S63" s="431"/>
      <c r="T63" s="431"/>
      <c r="U63" s="431"/>
      <c r="V63" s="431"/>
      <c r="W63" s="431"/>
      <c r="X63" s="431"/>
      <c r="Y63" s="431"/>
      <c r="Z63" s="431"/>
      <c r="AA63" s="431"/>
      <c r="AB63" s="66"/>
      <c r="AC63" s="431"/>
      <c r="AD63" s="66">
        <v>20</v>
      </c>
      <c r="AE63" s="431">
        <v>0.12</v>
      </c>
      <c r="AF63" s="431"/>
      <c r="AG63" s="431"/>
      <c r="AH63" s="431"/>
      <c r="AI63" s="431"/>
      <c r="AJ63" s="431"/>
      <c r="AK63" s="431"/>
      <c r="AL63" s="431"/>
      <c r="AM63" s="431"/>
      <c r="AN63" s="431"/>
      <c r="AO63" s="431"/>
      <c r="AP63" s="431"/>
      <c r="AQ63" s="431"/>
      <c r="AR63" s="431"/>
      <c r="AS63" s="431"/>
      <c r="AT63" s="431"/>
      <c r="AU63" s="431"/>
      <c r="AV63" s="431" t="s">
        <v>15</v>
      </c>
      <c r="AW63" s="431">
        <v>50</v>
      </c>
      <c r="AX63" s="431" t="s">
        <v>694</v>
      </c>
      <c r="AY63" s="431" t="s">
        <v>306</v>
      </c>
      <c r="AZ63" s="432" t="s">
        <v>306</v>
      </c>
    </row>
    <row r="64" spans="1:52" s="489" customFormat="1" ht="15">
      <c r="A64" s="444" t="s">
        <v>139</v>
      </c>
      <c r="B64" s="435" t="s">
        <v>146</v>
      </c>
      <c r="C64" s="431" t="s">
        <v>312</v>
      </c>
      <c r="D64" s="503"/>
      <c r="E64" s="503"/>
      <c r="F64" s="503"/>
      <c r="G64" s="503"/>
      <c r="H64" s="503">
        <v>60</v>
      </c>
      <c r="I64" s="503">
        <v>0</v>
      </c>
      <c r="J64" s="503">
        <v>30</v>
      </c>
      <c r="K64" s="503">
        <v>0.48</v>
      </c>
      <c r="L64" s="503"/>
      <c r="M64" s="503"/>
      <c r="N64" s="503"/>
      <c r="O64" s="503"/>
      <c r="P64" s="431"/>
      <c r="Q64" s="431"/>
      <c r="R64" s="431"/>
      <c r="S64" s="431"/>
      <c r="T64" s="431"/>
      <c r="U64" s="431"/>
      <c r="V64" s="431"/>
      <c r="W64" s="431"/>
      <c r="X64" s="431"/>
      <c r="Y64" s="431"/>
      <c r="Z64" s="431"/>
      <c r="AA64" s="431"/>
      <c r="AB64" s="431"/>
      <c r="AC64" s="431"/>
      <c r="AD64" s="431"/>
      <c r="AE64" s="431"/>
      <c r="AF64" s="431"/>
      <c r="AG64" s="431"/>
      <c r="AH64" s="431"/>
      <c r="AI64" s="431"/>
      <c r="AJ64" s="431"/>
      <c r="AK64" s="431"/>
      <c r="AL64" s="431"/>
      <c r="AM64" s="431"/>
      <c r="AN64" s="431"/>
      <c r="AO64" s="431"/>
      <c r="AP64" s="431"/>
      <c r="AQ64" s="431"/>
      <c r="AR64" s="431"/>
      <c r="AS64" s="431"/>
      <c r="AT64" s="431"/>
      <c r="AU64" s="431"/>
      <c r="AV64" s="431" t="s">
        <v>15</v>
      </c>
      <c r="AW64" s="431">
        <v>30</v>
      </c>
      <c r="AX64" s="431" t="s">
        <v>16</v>
      </c>
      <c r="AY64" s="431" t="s">
        <v>306</v>
      </c>
      <c r="AZ64" s="432" t="s">
        <v>313</v>
      </c>
    </row>
    <row r="65" spans="1:52" s="500" customFormat="1" ht="15.75" thickBot="1">
      <c r="A65" s="543" t="s">
        <v>302</v>
      </c>
      <c r="B65" s="544" t="s">
        <v>303</v>
      </c>
      <c r="C65" s="448" t="s">
        <v>305</v>
      </c>
      <c r="D65" s="448"/>
      <c r="E65" s="448"/>
      <c r="F65" s="448"/>
      <c r="G65" s="448"/>
      <c r="H65" s="448"/>
      <c r="I65" s="448"/>
      <c r="J65" s="448"/>
      <c r="K65" s="448"/>
      <c r="L65" s="448"/>
      <c r="M65" s="448"/>
      <c r="N65" s="448"/>
      <c r="O65" s="448"/>
      <c r="P65" s="448"/>
      <c r="Q65" s="448"/>
      <c r="R65" s="448"/>
      <c r="S65" s="448"/>
      <c r="T65" s="545">
        <v>4</v>
      </c>
      <c r="U65" s="545">
        <v>0</v>
      </c>
      <c r="V65" s="546">
        <v>4</v>
      </c>
      <c r="W65" s="547">
        <v>12.53</v>
      </c>
      <c r="X65" s="460"/>
      <c r="Y65" s="460"/>
      <c r="Z65" s="548">
        <v>50</v>
      </c>
      <c r="AA65" s="548">
        <v>2.73</v>
      </c>
      <c r="AB65" s="548"/>
      <c r="AC65" s="548"/>
      <c r="AD65" s="548"/>
      <c r="AE65" s="548"/>
      <c r="AF65" s="548"/>
      <c r="AG65" s="548"/>
      <c r="AH65" s="548"/>
      <c r="AI65" s="548"/>
      <c r="AJ65" s="548"/>
      <c r="AK65" s="548"/>
      <c r="AL65" s="548"/>
      <c r="AM65" s="548"/>
      <c r="AN65" s="548"/>
      <c r="AO65" s="548"/>
      <c r="AP65" s="548"/>
      <c r="AQ65" s="548"/>
      <c r="AR65" s="460">
        <v>40</v>
      </c>
      <c r="AS65" s="460">
        <v>0</v>
      </c>
      <c r="AT65" s="460">
        <v>20</v>
      </c>
      <c r="AU65" s="460">
        <v>1.4</v>
      </c>
      <c r="AV65" s="460" t="s">
        <v>12</v>
      </c>
      <c r="AW65" s="460">
        <v>30</v>
      </c>
      <c r="AX65" s="460" t="s">
        <v>28</v>
      </c>
      <c r="AY65" s="460" t="s">
        <v>306</v>
      </c>
      <c r="AZ65" s="494" t="s">
        <v>106</v>
      </c>
    </row>
    <row r="66" spans="1:52" s="553" customFormat="1" ht="15.75" thickBot="1">
      <c r="A66" s="549"/>
      <c r="B66" s="1106" t="s">
        <v>30</v>
      </c>
      <c r="C66" s="1107"/>
      <c r="D66" s="550">
        <f>SUM(D47:D65)</f>
        <v>40</v>
      </c>
      <c r="E66" s="550">
        <f aca="true" t="shared" si="6" ref="E66:AU66">SUM(E47:E65)</f>
        <v>0</v>
      </c>
      <c r="F66" s="550">
        <f t="shared" si="6"/>
        <v>204</v>
      </c>
      <c r="G66" s="550">
        <f t="shared" si="6"/>
        <v>35.660000000000004</v>
      </c>
      <c r="H66" s="550">
        <f t="shared" si="6"/>
        <v>90</v>
      </c>
      <c r="I66" s="550">
        <f t="shared" si="6"/>
        <v>30</v>
      </c>
      <c r="J66" s="550">
        <f t="shared" si="6"/>
        <v>60</v>
      </c>
      <c r="K66" s="550">
        <f t="shared" si="6"/>
        <v>1.08</v>
      </c>
      <c r="L66" s="550">
        <f t="shared" si="6"/>
        <v>170</v>
      </c>
      <c r="M66" s="550">
        <f t="shared" si="6"/>
        <v>191</v>
      </c>
      <c r="N66" s="550">
        <f t="shared" si="6"/>
        <v>1189</v>
      </c>
      <c r="O66" s="550">
        <f t="shared" si="6"/>
        <v>48.18</v>
      </c>
      <c r="P66" s="550">
        <f t="shared" si="6"/>
        <v>0</v>
      </c>
      <c r="Q66" s="550">
        <f t="shared" si="6"/>
        <v>0</v>
      </c>
      <c r="R66" s="550">
        <f t="shared" si="6"/>
        <v>0</v>
      </c>
      <c r="S66" s="550">
        <f t="shared" si="6"/>
        <v>0</v>
      </c>
      <c r="T66" s="550">
        <f t="shared" si="6"/>
        <v>7964</v>
      </c>
      <c r="U66" s="550">
        <f t="shared" si="6"/>
        <v>8846</v>
      </c>
      <c r="V66" s="550">
        <f t="shared" si="6"/>
        <v>9754</v>
      </c>
      <c r="W66" s="550">
        <f t="shared" si="6"/>
        <v>172.39</v>
      </c>
      <c r="X66" s="550">
        <f t="shared" si="6"/>
        <v>0</v>
      </c>
      <c r="Y66" s="550">
        <f t="shared" si="6"/>
        <v>0</v>
      </c>
      <c r="Z66" s="550">
        <f t="shared" si="6"/>
        <v>80</v>
      </c>
      <c r="AA66" s="550">
        <f t="shared" si="6"/>
        <v>3.86</v>
      </c>
      <c r="AB66" s="550">
        <f t="shared" si="6"/>
        <v>2814</v>
      </c>
      <c r="AC66" s="550">
        <f t="shared" si="6"/>
        <v>1374</v>
      </c>
      <c r="AD66" s="550">
        <f t="shared" si="6"/>
        <v>940</v>
      </c>
      <c r="AE66" s="550">
        <f t="shared" si="6"/>
        <v>11.159999999999998</v>
      </c>
      <c r="AF66" s="550">
        <f t="shared" si="6"/>
        <v>124</v>
      </c>
      <c r="AG66" s="550">
        <f t="shared" si="6"/>
        <v>0</v>
      </c>
      <c r="AH66" s="550">
        <f t="shared" si="6"/>
        <v>16</v>
      </c>
      <c r="AI66" s="550">
        <f t="shared" si="6"/>
        <v>21.389999999999997</v>
      </c>
      <c r="AJ66" s="550">
        <f t="shared" si="6"/>
        <v>1590</v>
      </c>
      <c r="AK66" s="550">
        <f t="shared" si="6"/>
        <v>860</v>
      </c>
      <c r="AL66" s="550">
        <f t="shared" si="6"/>
        <v>1500</v>
      </c>
      <c r="AM66" s="550">
        <f t="shared" si="6"/>
        <v>43.86</v>
      </c>
      <c r="AN66" s="550">
        <f t="shared" si="6"/>
        <v>0</v>
      </c>
      <c r="AO66" s="550">
        <f t="shared" si="6"/>
        <v>0</v>
      </c>
      <c r="AP66" s="550">
        <f t="shared" si="6"/>
        <v>1380</v>
      </c>
      <c r="AQ66" s="550">
        <f t="shared" si="6"/>
        <v>63.60999999999999</v>
      </c>
      <c r="AR66" s="550">
        <f t="shared" si="6"/>
        <v>2660</v>
      </c>
      <c r="AS66" s="550">
        <f t="shared" si="6"/>
        <v>0</v>
      </c>
      <c r="AT66" s="550">
        <f t="shared" si="6"/>
        <v>520</v>
      </c>
      <c r="AU66" s="550">
        <f t="shared" si="6"/>
        <v>28.9</v>
      </c>
      <c r="AV66" s="551"/>
      <c r="AW66" s="551"/>
      <c r="AX66" s="551"/>
      <c r="AY66" s="551"/>
      <c r="AZ66" s="552"/>
    </row>
    <row r="67" spans="1:52" s="553" customFormat="1" ht="15.75" thickBot="1">
      <c r="A67" s="465"/>
      <c r="B67" s="1108" t="s">
        <v>17</v>
      </c>
      <c r="C67" s="1109"/>
      <c r="D67" s="468">
        <f>SUM(D21,D34,D41,D45,D66)</f>
        <v>1756</v>
      </c>
      <c r="E67" s="468">
        <f aca="true" t="shared" si="7" ref="E67:AU67">SUM(E21,E34,E41,E45,E66)</f>
        <v>734</v>
      </c>
      <c r="F67" s="468">
        <f t="shared" si="7"/>
        <v>3324</v>
      </c>
      <c r="G67" s="468">
        <f t="shared" si="7"/>
        <v>261.06</v>
      </c>
      <c r="H67" s="468">
        <f t="shared" si="7"/>
        <v>181</v>
      </c>
      <c r="I67" s="468">
        <f t="shared" si="7"/>
        <v>100</v>
      </c>
      <c r="J67" s="468">
        <f t="shared" si="7"/>
        <v>216</v>
      </c>
      <c r="K67" s="468">
        <f t="shared" si="7"/>
        <v>6.58</v>
      </c>
      <c r="L67" s="468">
        <f t="shared" si="7"/>
        <v>1242</v>
      </c>
      <c r="M67" s="468">
        <f t="shared" si="7"/>
        <v>723</v>
      </c>
      <c r="N67" s="468">
        <f t="shared" si="7"/>
        <v>2403</v>
      </c>
      <c r="O67" s="468">
        <f t="shared" si="7"/>
        <v>443.45000000000005</v>
      </c>
      <c r="P67" s="468">
        <f t="shared" si="7"/>
        <v>4711</v>
      </c>
      <c r="Q67" s="468">
        <f t="shared" si="7"/>
        <v>3597</v>
      </c>
      <c r="R67" s="468">
        <f t="shared" si="7"/>
        <v>3746</v>
      </c>
      <c r="S67" s="468">
        <f t="shared" si="7"/>
        <v>191.94999999999996</v>
      </c>
      <c r="T67" s="468">
        <f t="shared" si="7"/>
        <v>11816</v>
      </c>
      <c r="U67" s="468">
        <f t="shared" si="7"/>
        <v>15496</v>
      </c>
      <c r="V67" s="468">
        <f t="shared" si="7"/>
        <v>13672</v>
      </c>
      <c r="W67" s="468">
        <f t="shared" si="7"/>
        <v>546.99</v>
      </c>
      <c r="X67" s="468">
        <f t="shared" si="7"/>
        <v>66</v>
      </c>
      <c r="Y67" s="468">
        <f t="shared" si="7"/>
        <v>0</v>
      </c>
      <c r="Z67" s="468">
        <f t="shared" si="7"/>
        <v>361</v>
      </c>
      <c r="AA67" s="468">
        <f t="shared" si="7"/>
        <v>27.960000000000004</v>
      </c>
      <c r="AB67" s="468">
        <f t="shared" si="7"/>
        <v>5727</v>
      </c>
      <c r="AC67" s="468">
        <f t="shared" si="7"/>
        <v>4617</v>
      </c>
      <c r="AD67" s="468">
        <f t="shared" si="7"/>
        <v>3989</v>
      </c>
      <c r="AE67" s="468">
        <f t="shared" si="7"/>
        <v>264.82</v>
      </c>
      <c r="AF67" s="468">
        <f t="shared" si="7"/>
        <v>2229</v>
      </c>
      <c r="AG67" s="468">
        <f t="shared" si="7"/>
        <v>1541</v>
      </c>
      <c r="AH67" s="468">
        <f t="shared" si="7"/>
        <v>984</v>
      </c>
      <c r="AI67" s="468">
        <f t="shared" si="7"/>
        <v>226.32</v>
      </c>
      <c r="AJ67" s="468">
        <f t="shared" si="7"/>
        <v>5353</v>
      </c>
      <c r="AK67" s="468">
        <f t="shared" si="7"/>
        <v>3106</v>
      </c>
      <c r="AL67" s="468">
        <f t="shared" si="7"/>
        <v>12580</v>
      </c>
      <c r="AM67" s="468">
        <f t="shared" si="7"/>
        <v>324.82000000000005</v>
      </c>
      <c r="AN67" s="468">
        <f t="shared" si="7"/>
        <v>1453</v>
      </c>
      <c r="AO67" s="468">
        <f t="shared" si="7"/>
        <v>419</v>
      </c>
      <c r="AP67" s="468">
        <f t="shared" si="7"/>
        <v>2850</v>
      </c>
      <c r="AQ67" s="468">
        <f t="shared" si="7"/>
        <v>229.95999999999998</v>
      </c>
      <c r="AR67" s="468">
        <f t="shared" si="7"/>
        <v>5372</v>
      </c>
      <c r="AS67" s="468">
        <f t="shared" si="7"/>
        <v>0</v>
      </c>
      <c r="AT67" s="468">
        <f t="shared" si="7"/>
        <v>3107</v>
      </c>
      <c r="AU67" s="468">
        <f t="shared" si="7"/>
        <v>203.67</v>
      </c>
      <c r="AV67" s="466"/>
      <c r="AW67" s="466"/>
      <c r="AX67" s="466"/>
      <c r="AY67" s="466"/>
      <c r="AZ67" s="467"/>
    </row>
  </sheetData>
  <sheetProtection/>
  <mergeCells count="65">
    <mergeCell ref="B41:C41"/>
    <mergeCell ref="B45:C45"/>
    <mergeCell ref="B46:AZ46"/>
    <mergeCell ref="B66:C66"/>
    <mergeCell ref="B67:C67"/>
    <mergeCell ref="AO29:AO31"/>
    <mergeCell ref="AP29:AP31"/>
    <mergeCell ref="AQ29:AQ31"/>
    <mergeCell ref="C30:C33"/>
    <mergeCell ref="B34:C34"/>
    <mergeCell ref="B35:AZ35"/>
    <mergeCell ref="AZ4:AZ5"/>
    <mergeCell ref="C12:C18"/>
    <mergeCell ref="B21:C21"/>
    <mergeCell ref="B22:AZ22"/>
    <mergeCell ref="C24:C25"/>
    <mergeCell ref="AN26:AN31"/>
    <mergeCell ref="AO26:AO28"/>
    <mergeCell ref="AP26:AP28"/>
    <mergeCell ref="AQ26:AQ28"/>
    <mergeCell ref="C27:C28"/>
    <mergeCell ref="AR4:AS4"/>
    <mergeCell ref="AT4:AU4"/>
    <mergeCell ref="AV4:AV5"/>
    <mergeCell ref="AW4:AW5"/>
    <mergeCell ref="AX4:AX5"/>
    <mergeCell ref="T4:U4"/>
    <mergeCell ref="V4:W4"/>
    <mergeCell ref="X4:Y4"/>
    <mergeCell ref="Z4:AA4"/>
    <mergeCell ref="AY4:AY5"/>
    <mergeCell ref="AF4:AG4"/>
    <mergeCell ref="AH4:AI4"/>
    <mergeCell ref="AJ4:AK4"/>
    <mergeCell ref="AL4:AM4"/>
    <mergeCell ref="AN4:AO4"/>
    <mergeCell ref="AP4:AQ4"/>
    <mergeCell ref="AB4:AC4"/>
    <mergeCell ref="AD4:AE4"/>
    <mergeCell ref="H4:I4"/>
    <mergeCell ref="J4:K4"/>
    <mergeCell ref="L4:M4"/>
    <mergeCell ref="N4:O4"/>
    <mergeCell ref="P4:Q4"/>
    <mergeCell ref="R4:S4"/>
    <mergeCell ref="AF3:AI3"/>
    <mergeCell ref="AJ3:AM3"/>
    <mergeCell ref="AN3:AQ3"/>
    <mergeCell ref="AR3:AU3"/>
    <mergeCell ref="AV3:AY3"/>
    <mergeCell ref="A4:A5"/>
    <mergeCell ref="B4:B5"/>
    <mergeCell ref="C4:C5"/>
    <mergeCell ref="D4:E4"/>
    <mergeCell ref="F4:G4"/>
    <mergeCell ref="A1:AZ1"/>
    <mergeCell ref="A2:AZ2"/>
    <mergeCell ref="A3:C3"/>
    <mergeCell ref="D3:G3"/>
    <mergeCell ref="H3:K3"/>
    <mergeCell ref="L3:O3"/>
    <mergeCell ref="P3:S3"/>
    <mergeCell ref="T3:W3"/>
    <mergeCell ref="X3:AA3"/>
    <mergeCell ref="AB3:AE3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K145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5"/>
  <cols>
    <col min="1" max="1" width="9.140625" style="23" customWidth="1"/>
    <col min="2" max="2" width="23.140625" style="894" customWidth="1"/>
    <col min="3" max="3" width="27.8515625" style="11" customWidth="1"/>
    <col min="4" max="10" width="5.00390625" style="11" customWidth="1"/>
    <col min="11" max="11" width="6.421875" style="11" customWidth="1"/>
    <col min="12" max="18" width="5.00390625" style="11" customWidth="1"/>
    <col min="19" max="19" width="7.28125" style="11" customWidth="1"/>
    <col min="20" max="21" width="5.00390625" style="11" customWidth="1"/>
    <col min="22" max="22" width="6.57421875" style="11" customWidth="1"/>
    <col min="23" max="23" width="5.8515625" style="11" customWidth="1"/>
    <col min="24" max="31" width="5.00390625" style="11" customWidth="1"/>
    <col min="32" max="32" width="9.8515625" style="24" customWidth="1"/>
    <col min="33" max="33" width="9.140625" style="21" customWidth="1"/>
    <col min="34" max="34" width="19.7109375" style="24" customWidth="1"/>
    <col min="35" max="35" width="9.140625" style="24" customWidth="1"/>
    <col min="36" max="36" width="26.28125" style="24" customWidth="1"/>
    <col min="37" max="37" width="26.421875" style="254" hidden="1" customWidth="1"/>
    <col min="38" max="16384" width="9.140625" style="254" customWidth="1"/>
  </cols>
  <sheetData>
    <row r="1" spans="1:37" s="826" customFormat="1" ht="16.5" thickBot="1">
      <c r="A1" s="1225" t="s">
        <v>264</v>
      </c>
      <c r="B1" s="1226"/>
      <c r="C1" s="1226"/>
      <c r="D1" s="1226"/>
      <c r="E1" s="1226"/>
      <c r="F1" s="1226"/>
      <c r="G1" s="1226"/>
      <c r="H1" s="1226"/>
      <c r="I1" s="1226"/>
      <c r="J1" s="1226"/>
      <c r="K1" s="1226"/>
      <c r="L1" s="1226"/>
      <c r="M1" s="1226"/>
      <c r="N1" s="1226"/>
      <c r="O1" s="1226"/>
      <c r="P1" s="1226"/>
      <c r="Q1" s="1226"/>
      <c r="R1" s="1226"/>
      <c r="S1" s="1226"/>
      <c r="T1" s="1226"/>
      <c r="U1" s="1226"/>
      <c r="V1" s="1226"/>
      <c r="W1" s="1226"/>
      <c r="X1" s="1226"/>
      <c r="Y1" s="1226"/>
      <c r="Z1" s="1226"/>
      <c r="AA1" s="1226"/>
      <c r="AB1" s="1226"/>
      <c r="AC1" s="1226"/>
      <c r="AD1" s="1226"/>
      <c r="AE1" s="1226"/>
      <c r="AF1" s="1226"/>
      <c r="AG1" s="1226"/>
      <c r="AH1" s="1226"/>
      <c r="AI1" s="1226"/>
      <c r="AJ1" s="1226"/>
      <c r="AK1" s="1227"/>
    </row>
    <row r="2" spans="1:37" s="598" customFormat="1" ht="16.5" thickBot="1">
      <c r="A2" s="1383" t="s">
        <v>550</v>
      </c>
      <c r="B2" s="1384"/>
      <c r="C2" s="1384"/>
      <c r="D2" s="1384"/>
      <c r="E2" s="1384"/>
      <c r="F2" s="1384"/>
      <c r="G2" s="1384"/>
      <c r="H2" s="1384"/>
      <c r="I2" s="1384"/>
      <c r="J2" s="1384"/>
      <c r="K2" s="1384"/>
      <c r="L2" s="1384"/>
      <c r="M2" s="1384"/>
      <c r="N2" s="1384"/>
      <c r="O2" s="1384"/>
      <c r="P2" s="1384"/>
      <c r="Q2" s="1384"/>
      <c r="R2" s="1384"/>
      <c r="S2" s="1384"/>
      <c r="T2" s="1384"/>
      <c r="U2" s="1384"/>
      <c r="V2" s="1384"/>
      <c r="W2" s="1384"/>
      <c r="X2" s="1384"/>
      <c r="Y2" s="1384"/>
      <c r="Z2" s="1384"/>
      <c r="AA2" s="1384"/>
      <c r="AB2" s="1384"/>
      <c r="AC2" s="1384"/>
      <c r="AD2" s="1384"/>
      <c r="AE2" s="1384"/>
      <c r="AF2" s="1384"/>
      <c r="AG2" s="1384"/>
      <c r="AH2" s="1384"/>
      <c r="AI2" s="1384"/>
      <c r="AJ2" s="1384"/>
      <c r="AK2" s="1385"/>
    </row>
    <row r="3" spans="1:37" s="598" customFormat="1" ht="16.5" thickBot="1">
      <c r="A3" s="914"/>
      <c r="B3" s="915"/>
      <c r="C3" s="915"/>
      <c r="D3" s="1114" t="s">
        <v>1105</v>
      </c>
      <c r="E3" s="1115"/>
      <c r="F3" s="1115"/>
      <c r="G3" s="1116"/>
      <c r="H3" s="1114" t="s">
        <v>1106</v>
      </c>
      <c r="I3" s="1115"/>
      <c r="J3" s="1115"/>
      <c r="K3" s="1116"/>
      <c r="L3" s="1114" t="s">
        <v>1107</v>
      </c>
      <c r="M3" s="1115"/>
      <c r="N3" s="1115"/>
      <c r="O3" s="1116"/>
      <c r="P3" s="1114" t="s">
        <v>1108</v>
      </c>
      <c r="Q3" s="1115"/>
      <c r="R3" s="1115"/>
      <c r="S3" s="1116"/>
      <c r="T3" s="1114" t="s">
        <v>1109</v>
      </c>
      <c r="U3" s="1115"/>
      <c r="V3" s="1115"/>
      <c r="W3" s="1116"/>
      <c r="X3" s="1114" t="s">
        <v>1110</v>
      </c>
      <c r="Y3" s="1115"/>
      <c r="Z3" s="1115"/>
      <c r="AA3" s="1116"/>
      <c r="AB3" s="1114" t="s">
        <v>1172</v>
      </c>
      <c r="AC3" s="1115"/>
      <c r="AD3" s="1115"/>
      <c r="AE3" s="1116"/>
      <c r="AF3" s="915"/>
      <c r="AG3" s="915"/>
      <c r="AH3" s="915"/>
      <c r="AI3" s="915"/>
      <c r="AJ3" s="897"/>
      <c r="AK3" s="916"/>
    </row>
    <row r="4" spans="1:37" s="598" customFormat="1" ht="15.75" customHeight="1">
      <c r="A4" s="1338" t="s">
        <v>116</v>
      </c>
      <c r="B4" s="1340" t="s">
        <v>187</v>
      </c>
      <c r="C4" s="1340" t="s">
        <v>20</v>
      </c>
      <c r="D4" s="1342" t="s">
        <v>112</v>
      </c>
      <c r="E4" s="1342"/>
      <c r="F4" s="1342" t="s">
        <v>113</v>
      </c>
      <c r="G4" s="1342"/>
      <c r="H4" s="1342" t="s">
        <v>112</v>
      </c>
      <c r="I4" s="1342"/>
      <c r="J4" s="1342" t="s">
        <v>113</v>
      </c>
      <c r="K4" s="1342"/>
      <c r="L4" s="1342" t="s">
        <v>112</v>
      </c>
      <c r="M4" s="1342"/>
      <c r="N4" s="1342" t="s">
        <v>113</v>
      </c>
      <c r="O4" s="1342"/>
      <c r="P4" s="1342" t="s">
        <v>112</v>
      </c>
      <c r="Q4" s="1342"/>
      <c r="R4" s="1342" t="s">
        <v>113</v>
      </c>
      <c r="S4" s="1342"/>
      <c r="T4" s="1342" t="s">
        <v>112</v>
      </c>
      <c r="U4" s="1342"/>
      <c r="V4" s="1342" t="s">
        <v>113</v>
      </c>
      <c r="W4" s="1342"/>
      <c r="X4" s="1342" t="s">
        <v>112</v>
      </c>
      <c r="Y4" s="1342"/>
      <c r="Z4" s="1342" t="s">
        <v>113</v>
      </c>
      <c r="AA4" s="1342"/>
      <c r="AB4" s="1342" t="s">
        <v>112</v>
      </c>
      <c r="AC4" s="1342"/>
      <c r="AD4" s="1342" t="s">
        <v>113</v>
      </c>
      <c r="AE4" s="1342"/>
      <c r="AF4" s="1343" t="s">
        <v>4</v>
      </c>
      <c r="AG4" s="1340" t="s">
        <v>122</v>
      </c>
      <c r="AH4" s="1340" t="s">
        <v>5</v>
      </c>
      <c r="AI4" s="1340" t="s">
        <v>83</v>
      </c>
      <c r="AJ4" s="1386" t="s">
        <v>84</v>
      </c>
      <c r="AK4" s="1388" t="s">
        <v>266</v>
      </c>
    </row>
    <row r="5" spans="1:37" s="598" customFormat="1" ht="98.25" thickBot="1">
      <c r="A5" s="1339"/>
      <c r="B5" s="1341"/>
      <c r="C5" s="1341"/>
      <c r="D5" s="898" t="s">
        <v>6</v>
      </c>
      <c r="E5" s="25" t="s">
        <v>7</v>
      </c>
      <c r="F5" s="25" t="s">
        <v>6</v>
      </c>
      <c r="G5" s="25" t="s">
        <v>188</v>
      </c>
      <c r="H5" s="898" t="s">
        <v>6</v>
      </c>
      <c r="I5" s="25" t="s">
        <v>7</v>
      </c>
      <c r="J5" s="25" t="s">
        <v>6</v>
      </c>
      <c r="K5" s="25" t="s">
        <v>188</v>
      </c>
      <c r="L5" s="898" t="s">
        <v>6</v>
      </c>
      <c r="M5" s="25" t="s">
        <v>7</v>
      </c>
      <c r="N5" s="25" t="s">
        <v>6</v>
      </c>
      <c r="O5" s="25" t="s">
        <v>188</v>
      </c>
      <c r="P5" s="899" t="s">
        <v>6</v>
      </c>
      <c r="Q5" s="414" t="s">
        <v>7</v>
      </c>
      <c r="R5" s="414" t="s">
        <v>6</v>
      </c>
      <c r="S5" s="414" t="s">
        <v>188</v>
      </c>
      <c r="T5" s="899" t="s">
        <v>6</v>
      </c>
      <c r="U5" s="414" t="s">
        <v>7</v>
      </c>
      <c r="V5" s="414" t="s">
        <v>6</v>
      </c>
      <c r="W5" s="414" t="s">
        <v>188</v>
      </c>
      <c r="X5" s="899" t="s">
        <v>6</v>
      </c>
      <c r="Y5" s="414" t="s">
        <v>7</v>
      </c>
      <c r="Z5" s="414" t="s">
        <v>6</v>
      </c>
      <c r="AA5" s="414" t="s">
        <v>188</v>
      </c>
      <c r="AB5" s="899" t="s">
        <v>6</v>
      </c>
      <c r="AC5" s="414" t="s">
        <v>7</v>
      </c>
      <c r="AD5" s="414" t="s">
        <v>6</v>
      </c>
      <c r="AE5" s="414" t="s">
        <v>188</v>
      </c>
      <c r="AF5" s="1344"/>
      <c r="AG5" s="1341"/>
      <c r="AH5" s="1341"/>
      <c r="AI5" s="1341"/>
      <c r="AJ5" s="1387"/>
      <c r="AK5" s="1389"/>
    </row>
    <row r="6" spans="1:37" s="598" customFormat="1" ht="15" customHeight="1">
      <c r="A6" s="1353" t="s">
        <v>190</v>
      </c>
      <c r="B6" s="1356" t="s">
        <v>191</v>
      </c>
      <c r="C6" s="145" t="s">
        <v>22</v>
      </c>
      <c r="D6" s="143"/>
      <c r="E6" s="143"/>
      <c r="F6" s="143"/>
      <c r="G6" s="143"/>
      <c r="H6" s="1390">
        <v>25</v>
      </c>
      <c r="I6" s="1390">
        <v>43</v>
      </c>
      <c r="J6" s="1390">
        <v>2</v>
      </c>
      <c r="K6" s="1356">
        <v>1.52</v>
      </c>
      <c r="L6" s="900"/>
      <c r="M6" s="900"/>
      <c r="N6" s="900"/>
      <c r="O6" s="900"/>
      <c r="P6" s="900" t="s">
        <v>575</v>
      </c>
      <c r="Q6" s="900"/>
      <c r="R6" s="68">
        <v>25</v>
      </c>
      <c r="S6" s="900">
        <v>0.9</v>
      </c>
      <c r="T6" s="901"/>
      <c r="U6" s="901"/>
      <c r="V6" s="744">
        <v>30</v>
      </c>
      <c r="W6" s="1393">
        <v>5</v>
      </c>
      <c r="X6" s="902"/>
      <c r="Y6" s="902"/>
      <c r="Z6" s="902"/>
      <c r="AA6" s="902"/>
      <c r="AB6" s="68">
        <v>25</v>
      </c>
      <c r="AC6" s="68">
        <v>20</v>
      </c>
      <c r="AD6" s="68">
        <v>0</v>
      </c>
      <c r="AE6" s="68">
        <v>0</v>
      </c>
      <c r="AF6" s="329" t="s">
        <v>589</v>
      </c>
      <c r="AG6" s="329">
        <v>20</v>
      </c>
      <c r="AH6" s="329" t="s">
        <v>578</v>
      </c>
      <c r="AI6" s="329" t="s">
        <v>306</v>
      </c>
      <c r="AJ6" s="329" t="s">
        <v>335</v>
      </c>
      <c r="AK6" s="116"/>
    </row>
    <row r="7" spans="1:37" s="598" customFormat="1" ht="15" customHeight="1">
      <c r="A7" s="1354"/>
      <c r="B7" s="1357"/>
      <c r="C7" s="145" t="s">
        <v>596</v>
      </c>
      <c r="D7" s="150"/>
      <c r="E7" s="150"/>
      <c r="F7" s="150"/>
      <c r="G7" s="1032">
        <v>2</v>
      </c>
      <c r="H7" s="1391"/>
      <c r="I7" s="1391"/>
      <c r="J7" s="1391"/>
      <c r="K7" s="1357"/>
      <c r="L7" s="149"/>
      <c r="M7" s="149"/>
      <c r="N7" s="149"/>
      <c r="O7" s="149"/>
      <c r="P7" s="822"/>
      <c r="Q7" s="822"/>
      <c r="R7" s="822"/>
      <c r="S7" s="822"/>
      <c r="T7" s="903"/>
      <c r="U7" s="903"/>
      <c r="V7" s="903"/>
      <c r="W7" s="1393"/>
      <c r="X7" s="902"/>
      <c r="Y7" s="902"/>
      <c r="Z7" s="902"/>
      <c r="AA7" s="902"/>
      <c r="AB7" s="68"/>
      <c r="AC7" s="68"/>
      <c r="AD7" s="68"/>
      <c r="AE7" s="68"/>
      <c r="AF7" s="329" t="s">
        <v>35</v>
      </c>
      <c r="AG7" s="329">
        <v>20</v>
      </c>
      <c r="AH7" s="329" t="s">
        <v>578</v>
      </c>
      <c r="AI7" s="329" t="s">
        <v>306</v>
      </c>
      <c r="AJ7" s="329" t="s">
        <v>335</v>
      </c>
      <c r="AK7" s="116"/>
    </row>
    <row r="8" spans="1:37" s="598" customFormat="1" ht="15" customHeight="1">
      <c r="A8" s="1355"/>
      <c r="B8" s="1357"/>
      <c r="C8" s="145" t="s">
        <v>597</v>
      </c>
      <c r="D8" s="145"/>
      <c r="E8" s="145"/>
      <c r="F8" s="145"/>
      <c r="G8" s="1032"/>
      <c r="H8" s="1392"/>
      <c r="I8" s="1392"/>
      <c r="J8" s="1392"/>
      <c r="K8" s="1357"/>
      <c r="L8" s="150"/>
      <c r="M8" s="150"/>
      <c r="N8" s="150"/>
      <c r="O8" s="150"/>
      <c r="P8" s="822"/>
      <c r="Q8" s="822"/>
      <c r="R8" s="822"/>
      <c r="S8" s="822"/>
      <c r="T8" s="903"/>
      <c r="U8" s="903"/>
      <c r="V8" s="903"/>
      <c r="W8" s="1393"/>
      <c r="X8" s="902"/>
      <c r="Y8" s="902"/>
      <c r="Z8" s="902"/>
      <c r="AA8" s="902"/>
      <c r="AB8" s="68"/>
      <c r="AC8" s="68"/>
      <c r="AD8" s="68"/>
      <c r="AE8" s="68"/>
      <c r="AF8" s="329" t="s">
        <v>23</v>
      </c>
      <c r="AG8" s="329">
        <v>30</v>
      </c>
      <c r="AH8" s="329" t="s">
        <v>578</v>
      </c>
      <c r="AI8" s="329" t="s">
        <v>306</v>
      </c>
      <c r="AJ8" s="329" t="s">
        <v>335</v>
      </c>
      <c r="AK8" s="116"/>
    </row>
    <row r="9" spans="1:37" s="598" customFormat="1" ht="15.75">
      <c r="A9" s="882" t="s">
        <v>249</v>
      </c>
      <c r="B9" s="1357"/>
      <c r="C9" s="145" t="s">
        <v>248</v>
      </c>
      <c r="D9" s="145"/>
      <c r="E9" s="145"/>
      <c r="F9" s="145"/>
      <c r="G9" s="1032"/>
      <c r="H9" s="904"/>
      <c r="I9" s="904"/>
      <c r="J9" s="804">
        <v>2</v>
      </c>
      <c r="K9" s="1357"/>
      <c r="L9" s="150"/>
      <c r="M9" s="150"/>
      <c r="N9" s="150"/>
      <c r="O9" s="150"/>
      <c r="P9" s="822"/>
      <c r="Q9" s="822"/>
      <c r="R9" s="822"/>
      <c r="S9" s="822"/>
      <c r="T9" s="903"/>
      <c r="U9" s="903"/>
      <c r="V9" s="744">
        <v>50</v>
      </c>
      <c r="W9" s="1393"/>
      <c r="X9" s="902"/>
      <c r="Y9" s="902"/>
      <c r="Z9" s="902"/>
      <c r="AA9" s="902"/>
      <c r="AB9" s="68"/>
      <c r="AC9" s="68"/>
      <c r="AD9" s="68"/>
      <c r="AE9" s="68"/>
      <c r="AF9" s="329"/>
      <c r="AG9" s="329"/>
      <c r="AH9" s="329"/>
      <c r="AI9" s="329"/>
      <c r="AJ9" s="329"/>
      <c r="AK9" s="116"/>
    </row>
    <row r="10" spans="1:37" s="598" customFormat="1" ht="24" customHeight="1">
      <c r="A10" s="882" t="s">
        <v>251</v>
      </c>
      <c r="B10" s="1357"/>
      <c r="C10" s="101" t="s">
        <v>250</v>
      </c>
      <c r="D10" s="101"/>
      <c r="E10" s="101"/>
      <c r="F10" s="101"/>
      <c r="G10" s="1032"/>
      <c r="H10" s="818"/>
      <c r="I10" s="818"/>
      <c r="J10" s="689">
        <v>1</v>
      </c>
      <c r="K10" s="1357"/>
      <c r="L10" s="101"/>
      <c r="M10" s="101"/>
      <c r="N10" s="101"/>
      <c r="O10" s="101"/>
      <c r="P10" s="822"/>
      <c r="Q10" s="822"/>
      <c r="R10" s="822"/>
      <c r="S10" s="822"/>
      <c r="T10" s="822"/>
      <c r="U10" s="822"/>
      <c r="V10" s="744">
        <v>30</v>
      </c>
      <c r="W10" s="1393"/>
      <c r="X10" s="902"/>
      <c r="Y10" s="902"/>
      <c r="Z10" s="902"/>
      <c r="AA10" s="902"/>
      <c r="AB10" s="68">
        <v>60</v>
      </c>
      <c r="AC10" s="68">
        <v>44</v>
      </c>
      <c r="AD10" s="1031" t="s">
        <v>610</v>
      </c>
      <c r="AE10" s="1031">
        <v>2.26</v>
      </c>
      <c r="AF10" s="68" t="s">
        <v>35</v>
      </c>
      <c r="AG10" s="145" t="s">
        <v>862</v>
      </c>
      <c r="AH10" s="68" t="s">
        <v>311</v>
      </c>
      <c r="AI10" s="68" t="s">
        <v>306</v>
      </c>
      <c r="AJ10" s="329" t="s">
        <v>335</v>
      </c>
      <c r="AK10" s="116"/>
    </row>
    <row r="11" spans="1:37" s="598" customFormat="1" ht="15.75">
      <c r="A11" s="883" t="s">
        <v>258</v>
      </c>
      <c r="B11" s="1357"/>
      <c r="C11" s="101" t="s">
        <v>252</v>
      </c>
      <c r="D11" s="101"/>
      <c r="E11" s="101"/>
      <c r="F11" s="101"/>
      <c r="G11" s="1032"/>
      <c r="H11" s="818"/>
      <c r="I11" s="818"/>
      <c r="J11" s="689">
        <v>1</v>
      </c>
      <c r="K11" s="1357"/>
      <c r="L11" s="101"/>
      <c r="M11" s="101"/>
      <c r="N11" s="101"/>
      <c r="O11" s="101"/>
      <c r="P11" s="68"/>
      <c r="Q11" s="68"/>
      <c r="R11" s="68">
        <v>15</v>
      </c>
      <c r="S11" s="68">
        <v>0.2</v>
      </c>
      <c r="T11" s="68"/>
      <c r="U11" s="68"/>
      <c r="V11" s="744">
        <v>250</v>
      </c>
      <c r="W11" s="1393"/>
      <c r="X11" s="902"/>
      <c r="Y11" s="902"/>
      <c r="Z11" s="902"/>
      <c r="AA11" s="902"/>
      <c r="AB11" s="68">
        <v>25</v>
      </c>
      <c r="AC11" s="68">
        <v>19</v>
      </c>
      <c r="AD11" s="1032"/>
      <c r="AE11" s="1032"/>
      <c r="AF11" s="68"/>
      <c r="AG11" s="68">
        <v>25</v>
      </c>
      <c r="AH11" s="68"/>
      <c r="AI11" s="68"/>
      <c r="AJ11" s="329"/>
      <c r="AK11" s="116"/>
    </row>
    <row r="12" spans="1:37" s="598" customFormat="1" ht="15.75">
      <c r="A12" s="883" t="s">
        <v>259</v>
      </c>
      <c r="B12" s="1357"/>
      <c r="C12" s="101" t="s">
        <v>253</v>
      </c>
      <c r="D12" s="101"/>
      <c r="E12" s="101"/>
      <c r="F12" s="101"/>
      <c r="G12" s="1032"/>
      <c r="H12" s="101"/>
      <c r="I12" s="101"/>
      <c r="J12" s="101"/>
      <c r="K12" s="1357"/>
      <c r="L12" s="101"/>
      <c r="M12" s="101"/>
      <c r="N12" s="101"/>
      <c r="O12" s="101"/>
      <c r="P12" s="822"/>
      <c r="Q12" s="822"/>
      <c r="R12" s="822"/>
      <c r="S12" s="822"/>
      <c r="T12" s="822"/>
      <c r="U12" s="822"/>
      <c r="V12" s="1395">
        <v>30</v>
      </c>
      <c r="W12" s="1393"/>
      <c r="X12" s="902"/>
      <c r="Y12" s="902"/>
      <c r="Z12" s="902"/>
      <c r="AA12" s="902"/>
      <c r="AB12" s="68">
        <v>0</v>
      </c>
      <c r="AC12" s="68">
        <v>0</v>
      </c>
      <c r="AD12" s="1032"/>
      <c r="AE12" s="1032"/>
      <c r="AF12" s="68" t="s">
        <v>35</v>
      </c>
      <c r="AG12" s="145" t="s">
        <v>862</v>
      </c>
      <c r="AH12" s="68" t="s">
        <v>13</v>
      </c>
      <c r="AI12" s="68" t="s">
        <v>306</v>
      </c>
      <c r="AJ12" s="68" t="s">
        <v>335</v>
      </c>
      <c r="AK12" s="116"/>
    </row>
    <row r="13" spans="1:37" s="598" customFormat="1" ht="15" customHeight="1">
      <c r="A13" s="883" t="s">
        <v>260</v>
      </c>
      <c r="B13" s="1357"/>
      <c r="C13" s="145" t="s">
        <v>254</v>
      </c>
      <c r="D13" s="145"/>
      <c r="E13" s="145"/>
      <c r="F13" s="145"/>
      <c r="G13" s="1032"/>
      <c r="H13" s="145"/>
      <c r="I13" s="145"/>
      <c r="J13" s="145">
        <v>1</v>
      </c>
      <c r="K13" s="1357"/>
      <c r="L13" s="145"/>
      <c r="M13" s="145"/>
      <c r="N13" s="145"/>
      <c r="O13" s="145"/>
      <c r="P13" s="822"/>
      <c r="Q13" s="822"/>
      <c r="R13" s="822"/>
      <c r="S13" s="822"/>
      <c r="T13" s="822"/>
      <c r="U13" s="822"/>
      <c r="V13" s="1396"/>
      <c r="W13" s="1393"/>
      <c r="X13" s="902"/>
      <c r="Y13" s="902"/>
      <c r="Z13" s="902"/>
      <c r="AA13" s="902"/>
      <c r="AB13" s="68"/>
      <c r="AC13" s="68"/>
      <c r="AD13" s="1032"/>
      <c r="AE13" s="1032"/>
      <c r="AF13" s="68"/>
      <c r="AG13" s="68"/>
      <c r="AH13" s="68"/>
      <c r="AI13" s="68"/>
      <c r="AJ13" s="68"/>
      <c r="AK13" s="116"/>
    </row>
    <row r="14" spans="1:37" s="598" customFormat="1" ht="15" customHeight="1">
      <c r="A14" s="883" t="s">
        <v>261</v>
      </c>
      <c r="B14" s="1357"/>
      <c r="C14" s="145" t="s">
        <v>255</v>
      </c>
      <c r="D14" s="145"/>
      <c r="E14" s="145"/>
      <c r="F14" s="145"/>
      <c r="G14" s="1033"/>
      <c r="H14" s="145"/>
      <c r="I14" s="145"/>
      <c r="J14" s="145">
        <v>1</v>
      </c>
      <c r="K14" s="1357"/>
      <c r="L14" s="145"/>
      <c r="M14" s="145"/>
      <c r="N14" s="145"/>
      <c r="O14" s="145"/>
      <c r="P14" s="68"/>
      <c r="Q14" s="68"/>
      <c r="R14" s="68">
        <v>242</v>
      </c>
      <c r="S14" s="68">
        <v>0.73</v>
      </c>
      <c r="T14" s="68"/>
      <c r="U14" s="68"/>
      <c r="V14" s="744">
        <v>600</v>
      </c>
      <c r="W14" s="1393"/>
      <c r="X14" s="902"/>
      <c r="Y14" s="902"/>
      <c r="Z14" s="902"/>
      <c r="AA14" s="902"/>
      <c r="AB14" s="68">
        <v>40</v>
      </c>
      <c r="AC14" s="68">
        <v>37</v>
      </c>
      <c r="AD14" s="1032"/>
      <c r="AE14" s="1032"/>
      <c r="AF14" s="68"/>
      <c r="AG14" s="68"/>
      <c r="AH14" s="68"/>
      <c r="AI14" s="68"/>
      <c r="AJ14" s="68"/>
      <c r="AK14" s="116"/>
    </row>
    <row r="15" spans="1:37" s="598" customFormat="1" ht="30">
      <c r="A15" s="883" t="s">
        <v>262</v>
      </c>
      <c r="B15" s="1357"/>
      <c r="C15" s="145" t="s">
        <v>256</v>
      </c>
      <c r="D15" s="145"/>
      <c r="E15" s="145"/>
      <c r="F15" s="145"/>
      <c r="G15" s="145"/>
      <c r="H15" s="145"/>
      <c r="I15" s="145"/>
      <c r="J15" s="145"/>
      <c r="K15" s="1357"/>
      <c r="L15" s="145"/>
      <c r="M15" s="145"/>
      <c r="N15" s="145"/>
      <c r="O15" s="145"/>
      <c r="P15" s="822"/>
      <c r="Q15" s="822"/>
      <c r="R15" s="822"/>
      <c r="S15" s="822"/>
      <c r="T15" s="822"/>
      <c r="U15" s="822"/>
      <c r="V15" s="822"/>
      <c r="W15" s="1393"/>
      <c r="X15" s="902"/>
      <c r="Y15" s="902"/>
      <c r="Z15" s="902"/>
      <c r="AA15" s="902"/>
      <c r="AB15" s="68"/>
      <c r="AC15" s="68"/>
      <c r="AD15" s="1032"/>
      <c r="AE15" s="1032"/>
      <c r="AF15" s="68" t="s">
        <v>35</v>
      </c>
      <c r="AG15" s="145" t="s">
        <v>861</v>
      </c>
      <c r="AH15" s="68" t="s">
        <v>311</v>
      </c>
      <c r="AI15" s="68" t="s">
        <v>306</v>
      </c>
      <c r="AJ15" s="68" t="s">
        <v>335</v>
      </c>
      <c r="AK15" s="116"/>
    </row>
    <row r="16" spans="1:37" s="598" customFormat="1" ht="15" customHeight="1">
      <c r="A16" s="882" t="s">
        <v>263</v>
      </c>
      <c r="B16" s="1357"/>
      <c r="C16" s="145" t="s">
        <v>257</v>
      </c>
      <c r="D16" s="145"/>
      <c r="E16" s="145"/>
      <c r="F16" s="145"/>
      <c r="G16" s="145"/>
      <c r="H16" s="145"/>
      <c r="I16" s="145"/>
      <c r="J16" s="145"/>
      <c r="K16" s="1357"/>
      <c r="L16" s="145"/>
      <c r="M16" s="145"/>
      <c r="N16" s="145"/>
      <c r="O16" s="145"/>
      <c r="P16" s="822"/>
      <c r="Q16" s="822"/>
      <c r="R16" s="822"/>
      <c r="S16" s="822"/>
      <c r="T16" s="822"/>
      <c r="U16" s="822"/>
      <c r="V16" s="822"/>
      <c r="W16" s="1393"/>
      <c r="X16" s="902"/>
      <c r="Y16" s="902"/>
      <c r="Z16" s="902"/>
      <c r="AA16" s="902"/>
      <c r="AB16" s="68"/>
      <c r="AC16" s="68"/>
      <c r="AD16" s="1032"/>
      <c r="AE16" s="1032"/>
      <c r="AF16" s="68"/>
      <c r="AG16" s="68"/>
      <c r="AH16" s="68"/>
      <c r="AI16" s="68"/>
      <c r="AJ16" s="68"/>
      <c r="AK16" s="116"/>
    </row>
    <row r="17" spans="1:37" s="598" customFormat="1" ht="30">
      <c r="A17" s="882" t="s">
        <v>1272</v>
      </c>
      <c r="B17" s="1357"/>
      <c r="C17" s="145" t="s">
        <v>1273</v>
      </c>
      <c r="D17" s="91"/>
      <c r="E17" s="91"/>
      <c r="F17" s="91"/>
      <c r="G17" s="91"/>
      <c r="H17" s="91"/>
      <c r="I17" s="91"/>
      <c r="J17" s="91">
        <v>6</v>
      </c>
      <c r="K17" s="1358"/>
      <c r="L17" s="91"/>
      <c r="M17" s="91"/>
      <c r="N17" s="91"/>
      <c r="O17" s="91"/>
      <c r="P17" s="68"/>
      <c r="Q17" s="68"/>
      <c r="R17" s="68">
        <v>40</v>
      </c>
      <c r="S17" s="68">
        <v>0.16</v>
      </c>
      <c r="T17" s="68"/>
      <c r="U17" s="68"/>
      <c r="V17" s="744">
        <v>5000</v>
      </c>
      <c r="W17" s="1394"/>
      <c r="X17" s="905"/>
      <c r="Y17" s="905"/>
      <c r="Z17" s="905"/>
      <c r="AA17" s="905"/>
      <c r="AB17" s="68">
        <v>40</v>
      </c>
      <c r="AC17" s="68">
        <v>35</v>
      </c>
      <c r="AD17" s="1033"/>
      <c r="AE17" s="68">
        <v>2</v>
      </c>
      <c r="AF17" s="68"/>
      <c r="AG17" s="141"/>
      <c r="AH17" s="68"/>
      <c r="AI17" s="68"/>
      <c r="AJ17" s="68"/>
      <c r="AK17" s="160"/>
    </row>
    <row r="18" spans="1:37" s="598" customFormat="1" ht="15" customHeight="1" hidden="1">
      <c r="A18" s="882" t="s">
        <v>1274</v>
      </c>
      <c r="B18" s="1358"/>
      <c r="C18" s="145" t="s">
        <v>882</v>
      </c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822"/>
      <c r="Q18" s="822"/>
      <c r="R18" s="822"/>
      <c r="S18" s="822"/>
      <c r="T18" s="822"/>
      <c r="U18" s="822"/>
      <c r="V18" s="822"/>
      <c r="W18" s="822"/>
      <c r="X18" s="822"/>
      <c r="Y18" s="822"/>
      <c r="Z18" s="822"/>
      <c r="AA18" s="822"/>
      <c r="AB18" s="822"/>
      <c r="AC18" s="822"/>
      <c r="AD18" s="822"/>
      <c r="AE18" s="822"/>
      <c r="AF18" s="68"/>
      <c r="AG18" s="141"/>
      <c r="AH18" s="68"/>
      <c r="AI18" s="68"/>
      <c r="AJ18" s="68"/>
      <c r="AK18" s="160"/>
    </row>
    <row r="19" spans="1:37" s="598" customFormat="1" ht="60">
      <c r="A19" s="882" t="s">
        <v>712</v>
      </c>
      <c r="B19" s="1353" t="s">
        <v>713</v>
      </c>
      <c r="C19" s="145" t="s">
        <v>714</v>
      </c>
      <c r="D19" s="145"/>
      <c r="E19" s="145"/>
      <c r="F19" s="145"/>
      <c r="G19" s="145"/>
      <c r="H19" s="145"/>
      <c r="I19" s="145"/>
      <c r="J19" s="145" t="s">
        <v>610</v>
      </c>
      <c r="K19" s="906">
        <v>3.95</v>
      </c>
      <c r="L19" s="145"/>
      <c r="M19" s="145"/>
      <c r="N19" s="145"/>
      <c r="O19" s="145"/>
      <c r="P19" s="822"/>
      <c r="Q19" s="822"/>
      <c r="R19" s="822"/>
      <c r="S19" s="822"/>
      <c r="T19" s="822"/>
      <c r="U19" s="822"/>
      <c r="V19" s="822"/>
      <c r="W19" s="822"/>
      <c r="X19" s="822"/>
      <c r="Y19" s="822"/>
      <c r="Z19" s="822"/>
      <c r="AA19" s="822"/>
      <c r="AB19" s="68">
        <v>150</v>
      </c>
      <c r="AC19" s="68">
        <v>100</v>
      </c>
      <c r="AD19" s="68"/>
      <c r="AE19" s="68">
        <v>0.5</v>
      </c>
      <c r="AF19" s="779" t="s">
        <v>35</v>
      </c>
      <c r="AG19" s="141" t="s">
        <v>719</v>
      </c>
      <c r="AH19" s="621" t="s">
        <v>720</v>
      </c>
      <c r="AI19" s="884" t="s">
        <v>306</v>
      </c>
      <c r="AJ19" s="884" t="s">
        <v>306</v>
      </c>
      <c r="AK19" s="160"/>
    </row>
    <row r="20" spans="1:37" s="598" customFormat="1" ht="60">
      <c r="A20" s="882" t="s">
        <v>715</v>
      </c>
      <c r="B20" s="1354"/>
      <c r="C20" s="145" t="s">
        <v>716</v>
      </c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779"/>
      <c r="Q20" s="779"/>
      <c r="R20" s="779">
        <v>3</v>
      </c>
      <c r="S20" s="779">
        <v>1</v>
      </c>
      <c r="T20" s="779"/>
      <c r="U20" s="779"/>
      <c r="V20" s="744">
        <v>250</v>
      </c>
      <c r="W20" s="917">
        <v>15</v>
      </c>
      <c r="X20" s="917"/>
      <c r="Y20" s="917"/>
      <c r="Z20" s="917"/>
      <c r="AA20" s="917"/>
      <c r="AB20" s="917"/>
      <c r="AC20" s="917"/>
      <c r="AD20" s="917"/>
      <c r="AE20" s="917"/>
      <c r="AF20" s="779" t="s">
        <v>35</v>
      </c>
      <c r="AG20" s="141" t="s">
        <v>719</v>
      </c>
      <c r="AH20" s="621" t="s">
        <v>720</v>
      </c>
      <c r="AI20" s="884" t="s">
        <v>306</v>
      </c>
      <c r="AJ20" s="884" t="s">
        <v>306</v>
      </c>
      <c r="AK20" s="160"/>
    </row>
    <row r="21" spans="1:37" s="868" customFormat="1" ht="15.75">
      <c r="A21" s="882" t="s">
        <v>964</v>
      </c>
      <c r="B21" s="1354"/>
      <c r="C21" s="886" t="s">
        <v>1275</v>
      </c>
      <c r="D21" s="886"/>
      <c r="E21" s="886"/>
      <c r="F21" s="886"/>
      <c r="G21" s="886"/>
      <c r="H21" s="886"/>
      <c r="I21" s="886"/>
      <c r="J21" s="886"/>
      <c r="K21" s="886"/>
      <c r="L21" s="886"/>
      <c r="M21" s="886"/>
      <c r="N21" s="886"/>
      <c r="O21" s="886"/>
      <c r="P21" s="779"/>
      <c r="Q21" s="779"/>
      <c r="R21" s="779"/>
      <c r="S21" s="779"/>
      <c r="T21" s="779"/>
      <c r="U21" s="779"/>
      <c r="V21" s="744">
        <v>250</v>
      </c>
      <c r="W21" s="917">
        <v>3</v>
      </c>
      <c r="X21" s="917"/>
      <c r="Y21" s="917"/>
      <c r="Z21" s="917"/>
      <c r="AA21" s="917"/>
      <c r="AB21" s="917"/>
      <c r="AC21" s="917"/>
      <c r="AD21" s="917"/>
      <c r="AE21" s="917"/>
      <c r="AF21" s="845" t="s">
        <v>575</v>
      </c>
      <c r="AG21" s="845" t="s">
        <v>575</v>
      </c>
      <c r="AH21" s="845" t="s">
        <v>575</v>
      </c>
      <c r="AI21" s="845" t="s">
        <v>575</v>
      </c>
      <c r="AJ21" s="918" t="s">
        <v>575</v>
      </c>
      <c r="AK21" s="919"/>
    </row>
    <row r="22" spans="1:37" s="598" customFormat="1" ht="75">
      <c r="A22" s="882" t="s">
        <v>717</v>
      </c>
      <c r="B22" s="1354"/>
      <c r="C22" s="145" t="s">
        <v>718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779"/>
      <c r="Q22" s="779"/>
      <c r="R22" s="779">
        <v>80</v>
      </c>
      <c r="S22" s="779">
        <v>1</v>
      </c>
      <c r="T22" s="779"/>
      <c r="U22" s="779"/>
      <c r="V22" s="779"/>
      <c r="W22" s="779"/>
      <c r="X22" s="779"/>
      <c r="Y22" s="779"/>
      <c r="Z22" s="779"/>
      <c r="AA22" s="779"/>
      <c r="AB22" s="779"/>
      <c r="AC22" s="779"/>
      <c r="AD22" s="779"/>
      <c r="AE22" s="779"/>
      <c r="AF22" s="779" t="s">
        <v>35</v>
      </c>
      <c r="AG22" s="141" t="s">
        <v>719</v>
      </c>
      <c r="AH22" s="621" t="s">
        <v>720</v>
      </c>
      <c r="AI22" s="884" t="s">
        <v>306</v>
      </c>
      <c r="AJ22" s="884" t="s">
        <v>306</v>
      </c>
      <c r="AK22" s="160"/>
    </row>
    <row r="23" spans="1:37" s="598" customFormat="1" ht="15.75" hidden="1">
      <c r="A23" s="882" t="s">
        <v>1276</v>
      </c>
      <c r="B23" s="1355"/>
      <c r="C23" s="145" t="s">
        <v>1277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779"/>
      <c r="Q23" s="779"/>
      <c r="R23" s="779"/>
      <c r="S23" s="779"/>
      <c r="T23" s="907"/>
      <c r="U23" s="907"/>
      <c r="V23" s="907"/>
      <c r="W23" s="907"/>
      <c r="X23" s="907"/>
      <c r="Y23" s="907"/>
      <c r="Z23" s="907"/>
      <c r="AA23" s="907"/>
      <c r="AB23" s="907"/>
      <c r="AC23" s="907"/>
      <c r="AD23" s="907"/>
      <c r="AE23" s="907"/>
      <c r="AF23" s="24"/>
      <c r="AG23" s="21"/>
      <c r="AH23" s="621" t="s">
        <v>720</v>
      </c>
      <c r="AI23" s="24"/>
      <c r="AJ23" s="24"/>
      <c r="AK23" s="160"/>
    </row>
    <row r="24" spans="1:37" s="598" customFormat="1" ht="15.75" hidden="1">
      <c r="A24" s="779" t="s">
        <v>1278</v>
      </c>
      <c r="B24" s="152" t="s">
        <v>1279</v>
      </c>
      <c r="C24" s="145" t="s">
        <v>479</v>
      </c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779"/>
      <c r="Q24" s="779"/>
      <c r="R24" s="779"/>
      <c r="S24" s="779"/>
      <c r="T24" s="907"/>
      <c r="U24" s="907"/>
      <c r="V24" s="907"/>
      <c r="W24" s="907"/>
      <c r="X24" s="907"/>
      <c r="Y24" s="907"/>
      <c r="Z24" s="907"/>
      <c r="AA24" s="907"/>
      <c r="AB24" s="907"/>
      <c r="AC24" s="907"/>
      <c r="AD24" s="907"/>
      <c r="AE24" s="907"/>
      <c r="AF24" s="24"/>
      <c r="AG24" s="21"/>
      <c r="AH24" s="621" t="s">
        <v>720</v>
      </c>
      <c r="AI24" s="24"/>
      <c r="AJ24" s="24"/>
      <c r="AK24" s="160"/>
    </row>
    <row r="25" spans="1:37" s="598" customFormat="1" ht="45" customHeight="1">
      <c r="A25" s="779" t="s">
        <v>722</v>
      </c>
      <c r="B25" s="1370" t="s">
        <v>723</v>
      </c>
      <c r="C25" s="145" t="s">
        <v>724</v>
      </c>
      <c r="D25" s="145"/>
      <c r="E25" s="145"/>
      <c r="F25" s="145">
        <v>115</v>
      </c>
      <c r="G25" s="145">
        <v>8.25</v>
      </c>
      <c r="H25" s="818">
        <v>1</v>
      </c>
      <c r="I25" s="818">
        <v>1</v>
      </c>
      <c r="J25" s="817">
        <v>1</v>
      </c>
      <c r="K25" s="906">
        <v>0.16</v>
      </c>
      <c r="L25" s="145"/>
      <c r="M25" s="145"/>
      <c r="N25" s="145"/>
      <c r="O25" s="145"/>
      <c r="P25" s="779"/>
      <c r="Q25" s="779"/>
      <c r="R25" s="779">
        <v>4</v>
      </c>
      <c r="S25" s="908">
        <v>0.05</v>
      </c>
      <c r="T25" s="747"/>
      <c r="U25" s="747"/>
      <c r="V25" s="917" t="s">
        <v>575</v>
      </c>
      <c r="W25" s="747">
        <v>1</v>
      </c>
      <c r="X25" s="747"/>
      <c r="Y25" s="747"/>
      <c r="Z25" s="747"/>
      <c r="AA25" s="747"/>
      <c r="AB25" s="68">
        <v>30</v>
      </c>
      <c r="AC25" s="68">
        <v>29</v>
      </c>
      <c r="AD25" s="68" t="s">
        <v>1374</v>
      </c>
      <c r="AE25" s="68">
        <v>1.29</v>
      </c>
      <c r="AF25" s="145" t="s">
        <v>35</v>
      </c>
      <c r="AG25" s="145" t="s">
        <v>719</v>
      </c>
      <c r="AH25" s="621" t="s">
        <v>720</v>
      </c>
      <c r="AI25" s="145" t="s">
        <v>306</v>
      </c>
      <c r="AJ25" s="145" t="s">
        <v>306</v>
      </c>
      <c r="AK25" s="160"/>
    </row>
    <row r="26" spans="1:37" s="598" customFormat="1" ht="15.75">
      <c r="A26" s="779" t="s">
        <v>725</v>
      </c>
      <c r="B26" s="1370"/>
      <c r="C26" s="145" t="s">
        <v>726</v>
      </c>
      <c r="D26" s="145"/>
      <c r="E26" s="145"/>
      <c r="F26" s="145"/>
      <c r="G26" s="145"/>
      <c r="H26" s="817">
        <v>1</v>
      </c>
      <c r="I26" s="817">
        <v>1</v>
      </c>
      <c r="J26" s="817">
        <v>1</v>
      </c>
      <c r="K26" s="817">
        <v>0.16</v>
      </c>
      <c r="L26" s="145"/>
      <c r="M26" s="145"/>
      <c r="N26" s="145"/>
      <c r="O26" s="145"/>
      <c r="P26" s="145"/>
      <c r="Q26" s="145"/>
      <c r="R26" s="145">
        <v>24</v>
      </c>
      <c r="S26" s="145">
        <v>0.45</v>
      </c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 t="s">
        <v>35</v>
      </c>
      <c r="AG26" s="145" t="s">
        <v>719</v>
      </c>
      <c r="AH26" s="145"/>
      <c r="AI26" s="145" t="s">
        <v>306</v>
      </c>
      <c r="AJ26" s="145" t="s">
        <v>306</v>
      </c>
      <c r="AK26" s="160"/>
    </row>
    <row r="27" spans="1:37" s="598" customFormat="1" ht="45">
      <c r="A27" s="818">
        <v>2.4</v>
      </c>
      <c r="B27" s="1370"/>
      <c r="C27" s="145" t="s">
        <v>1348</v>
      </c>
      <c r="D27" s="145"/>
      <c r="E27" s="145"/>
      <c r="F27" s="145"/>
      <c r="G27" s="145"/>
      <c r="H27" s="817"/>
      <c r="I27" s="817"/>
      <c r="J27" s="817">
        <v>150</v>
      </c>
      <c r="K27" s="817">
        <v>1.15</v>
      </c>
      <c r="L27" s="145"/>
      <c r="M27" s="145"/>
      <c r="N27" s="145"/>
      <c r="O27" s="145"/>
      <c r="P27" s="822"/>
      <c r="Q27" s="822"/>
      <c r="R27" s="822"/>
      <c r="S27" s="822"/>
      <c r="T27" s="822"/>
      <c r="U27" s="822"/>
      <c r="V27" s="822"/>
      <c r="W27" s="822"/>
      <c r="X27" s="822"/>
      <c r="Y27" s="822"/>
      <c r="Z27" s="822"/>
      <c r="AA27" s="822"/>
      <c r="AB27" s="822"/>
      <c r="AC27" s="822"/>
      <c r="AD27" s="822"/>
      <c r="AE27" s="822"/>
      <c r="AF27" s="817" t="s">
        <v>35</v>
      </c>
      <c r="AG27" s="817">
        <v>150</v>
      </c>
      <c r="AH27" s="817"/>
      <c r="AI27" s="145"/>
      <c r="AJ27" s="145"/>
      <c r="AK27" s="160"/>
    </row>
    <row r="28" spans="1:37" s="598" customFormat="1" ht="15.75">
      <c r="A28" s="779" t="s">
        <v>820</v>
      </c>
      <c r="B28" s="1370"/>
      <c r="C28" s="145" t="s">
        <v>822</v>
      </c>
      <c r="D28" s="145"/>
      <c r="E28" s="145"/>
      <c r="F28" s="145"/>
      <c r="G28" s="145"/>
      <c r="H28" s="817">
        <v>1</v>
      </c>
      <c r="I28" s="817">
        <v>0</v>
      </c>
      <c r="J28" s="817">
        <v>1</v>
      </c>
      <c r="K28" s="817">
        <v>0.16</v>
      </c>
      <c r="L28" s="145"/>
      <c r="M28" s="145"/>
      <c r="N28" s="145"/>
      <c r="O28" s="145"/>
      <c r="P28" s="68"/>
      <c r="Q28" s="68"/>
      <c r="R28" s="68">
        <v>100</v>
      </c>
      <c r="S28" s="68">
        <v>0.9</v>
      </c>
      <c r="T28" s="68"/>
      <c r="U28" s="68"/>
      <c r="V28" s="68"/>
      <c r="W28" s="68"/>
      <c r="X28" s="68"/>
      <c r="Y28" s="68"/>
      <c r="Z28" s="68"/>
      <c r="AA28" s="68"/>
      <c r="AB28" s="68">
        <v>120</v>
      </c>
      <c r="AC28" s="68">
        <v>112</v>
      </c>
      <c r="AD28" s="68">
        <v>0</v>
      </c>
      <c r="AE28" s="68">
        <v>0</v>
      </c>
      <c r="AF28" s="145"/>
      <c r="AG28" s="145" t="s">
        <v>1375</v>
      </c>
      <c r="AH28" s="145"/>
      <c r="AI28" s="145"/>
      <c r="AJ28" s="145"/>
      <c r="AK28" s="160"/>
    </row>
    <row r="29" spans="1:37" s="598" customFormat="1" ht="30">
      <c r="A29" s="779" t="s">
        <v>727</v>
      </c>
      <c r="B29" s="1370"/>
      <c r="C29" s="145" t="s">
        <v>728</v>
      </c>
      <c r="D29" s="145"/>
      <c r="E29" s="145"/>
      <c r="F29" s="145"/>
      <c r="G29" s="145"/>
      <c r="H29" s="818">
        <v>1</v>
      </c>
      <c r="I29" s="818">
        <v>0</v>
      </c>
      <c r="J29" s="817">
        <v>1</v>
      </c>
      <c r="K29" s="817">
        <v>0.16</v>
      </c>
      <c r="L29" s="145"/>
      <c r="M29" s="145"/>
      <c r="N29" s="145"/>
      <c r="O29" s="145"/>
      <c r="P29" s="68"/>
      <c r="Q29" s="68"/>
      <c r="R29" s="68">
        <v>1</v>
      </c>
      <c r="S29" s="68">
        <v>0.15</v>
      </c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145" t="s">
        <v>35</v>
      </c>
      <c r="AG29" s="145" t="s">
        <v>719</v>
      </c>
      <c r="AH29" s="145"/>
      <c r="AI29" s="145" t="s">
        <v>306</v>
      </c>
      <c r="AJ29" s="145" t="s">
        <v>306</v>
      </c>
      <c r="AK29" s="160"/>
    </row>
    <row r="30" spans="1:37" s="598" customFormat="1" ht="30">
      <c r="A30" s="779" t="s">
        <v>729</v>
      </c>
      <c r="B30" s="1370"/>
      <c r="C30" s="145" t="s">
        <v>730</v>
      </c>
      <c r="D30" s="145"/>
      <c r="E30" s="145"/>
      <c r="F30" s="145"/>
      <c r="G30" s="145"/>
      <c r="H30" s="817"/>
      <c r="I30" s="817"/>
      <c r="J30" s="817">
        <v>1</v>
      </c>
      <c r="K30" s="817">
        <v>0.16</v>
      </c>
      <c r="L30" s="145"/>
      <c r="M30" s="145"/>
      <c r="N30" s="145"/>
      <c r="O30" s="145"/>
      <c r="P30" s="822"/>
      <c r="Q30" s="822"/>
      <c r="R30" s="822"/>
      <c r="S30" s="822"/>
      <c r="T30" s="822"/>
      <c r="U30" s="822"/>
      <c r="V30" s="822"/>
      <c r="W30" s="822"/>
      <c r="X30" s="822"/>
      <c r="Y30" s="822"/>
      <c r="Z30" s="822"/>
      <c r="AA30" s="822"/>
      <c r="AB30" s="822"/>
      <c r="AC30" s="822"/>
      <c r="AD30" s="822"/>
      <c r="AE30" s="822"/>
      <c r="AF30" s="145" t="s">
        <v>35</v>
      </c>
      <c r="AG30" s="145" t="s">
        <v>719</v>
      </c>
      <c r="AH30" s="145"/>
      <c r="AI30" s="145" t="s">
        <v>306</v>
      </c>
      <c r="AJ30" s="145" t="s">
        <v>306</v>
      </c>
      <c r="AK30" s="160"/>
    </row>
    <row r="31" spans="1:37" s="598" customFormat="1" ht="30">
      <c r="A31" s="779" t="s">
        <v>731</v>
      </c>
      <c r="B31" s="1370"/>
      <c r="C31" s="145" t="s">
        <v>732</v>
      </c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68"/>
      <c r="Q31" s="68"/>
      <c r="R31" s="68">
        <v>180</v>
      </c>
      <c r="S31" s="68">
        <v>1.5</v>
      </c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145" t="s">
        <v>35</v>
      </c>
      <c r="AG31" s="145" t="s">
        <v>719</v>
      </c>
      <c r="AH31" s="145"/>
      <c r="AI31" s="145" t="s">
        <v>306</v>
      </c>
      <c r="AJ31" s="145" t="s">
        <v>306</v>
      </c>
      <c r="AK31" s="160"/>
    </row>
    <row r="32" spans="1:37" s="598" customFormat="1" ht="15" customHeight="1">
      <c r="A32" s="1353" t="s">
        <v>587</v>
      </c>
      <c r="B32" s="1368" t="s">
        <v>588</v>
      </c>
      <c r="C32" s="145" t="s">
        <v>563</v>
      </c>
      <c r="D32" s="145"/>
      <c r="E32" s="145"/>
      <c r="F32" s="145">
        <v>20</v>
      </c>
      <c r="G32" s="1031">
        <v>6.8</v>
      </c>
      <c r="H32" s="91">
        <v>16</v>
      </c>
      <c r="I32" s="91">
        <v>16</v>
      </c>
      <c r="J32" s="91"/>
      <c r="K32" s="129">
        <v>2.6</v>
      </c>
      <c r="L32" s="145"/>
      <c r="M32" s="145"/>
      <c r="N32" s="145"/>
      <c r="O32" s="145"/>
      <c r="P32" s="822"/>
      <c r="Q32" s="822"/>
      <c r="R32" s="822"/>
      <c r="S32" s="822"/>
      <c r="T32" s="822"/>
      <c r="U32" s="822"/>
      <c r="V32" s="822"/>
      <c r="W32" s="822"/>
      <c r="X32" s="822"/>
      <c r="Y32" s="822"/>
      <c r="Z32" s="822"/>
      <c r="AA32" s="822"/>
      <c r="AB32" s="68">
        <v>60</v>
      </c>
      <c r="AC32" s="68">
        <v>60</v>
      </c>
      <c r="AD32" s="68" t="s">
        <v>1376</v>
      </c>
      <c r="AE32" s="68">
        <v>3</v>
      </c>
      <c r="AF32" s="145" t="s">
        <v>71</v>
      </c>
      <c r="AG32" s="145" t="s">
        <v>861</v>
      </c>
      <c r="AH32" s="145" t="s">
        <v>86</v>
      </c>
      <c r="AI32" s="145" t="s">
        <v>306</v>
      </c>
      <c r="AJ32" s="145" t="s">
        <v>306</v>
      </c>
      <c r="AK32" s="160"/>
    </row>
    <row r="33" spans="1:37" s="598" customFormat="1" ht="45">
      <c r="A33" s="1355"/>
      <c r="B33" s="1368"/>
      <c r="C33" s="145" t="s">
        <v>721</v>
      </c>
      <c r="D33" s="145"/>
      <c r="E33" s="145"/>
      <c r="F33" s="91">
        <v>188</v>
      </c>
      <c r="G33" s="1033"/>
      <c r="H33" s="91"/>
      <c r="I33" s="91"/>
      <c r="J33" s="91"/>
      <c r="K33" s="129"/>
      <c r="L33" s="91"/>
      <c r="M33" s="91"/>
      <c r="N33" s="91"/>
      <c r="O33" s="91"/>
      <c r="P33" s="145"/>
      <c r="Q33" s="145"/>
      <c r="R33" s="145">
        <v>20</v>
      </c>
      <c r="S33" s="145">
        <v>2</v>
      </c>
      <c r="T33" s="145"/>
      <c r="U33" s="145"/>
      <c r="V33" s="920">
        <v>2249</v>
      </c>
      <c r="W33" s="917">
        <v>35.86</v>
      </c>
      <c r="X33" s="917"/>
      <c r="Y33" s="917"/>
      <c r="Z33" s="917"/>
      <c r="AA33" s="917"/>
      <c r="AB33" s="68">
        <v>100</v>
      </c>
      <c r="AC33" s="68">
        <v>95</v>
      </c>
      <c r="AD33" s="68"/>
      <c r="AE33" s="68"/>
      <c r="AF33" s="145" t="s">
        <v>589</v>
      </c>
      <c r="AG33" s="145" t="s">
        <v>978</v>
      </c>
      <c r="AH33" s="145" t="s">
        <v>1377</v>
      </c>
      <c r="AI33" s="145" t="s">
        <v>306</v>
      </c>
      <c r="AJ33" s="145" t="s">
        <v>306</v>
      </c>
      <c r="AK33" s="160"/>
    </row>
    <row r="34" spans="1:37" s="598" customFormat="1" ht="15.75">
      <c r="A34" s="146" t="s">
        <v>598</v>
      </c>
      <c r="B34" s="150" t="s">
        <v>189</v>
      </c>
      <c r="C34" s="145" t="s">
        <v>599</v>
      </c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68"/>
      <c r="Q34" s="68"/>
      <c r="R34" s="68">
        <v>1</v>
      </c>
      <c r="S34" s="68">
        <v>0.14</v>
      </c>
      <c r="T34" s="747"/>
      <c r="U34" s="747"/>
      <c r="V34" s="917" t="s">
        <v>575</v>
      </c>
      <c r="W34" s="747">
        <v>2</v>
      </c>
      <c r="X34" s="747"/>
      <c r="Y34" s="747"/>
      <c r="Z34" s="747"/>
      <c r="AA34" s="747"/>
      <c r="AB34" s="145">
        <v>0</v>
      </c>
      <c r="AC34" s="145">
        <v>0</v>
      </c>
      <c r="AD34" s="145">
        <v>40</v>
      </c>
      <c r="AE34" s="145">
        <v>2</v>
      </c>
      <c r="AF34" s="145" t="s">
        <v>35</v>
      </c>
      <c r="AG34" s="145" t="s">
        <v>978</v>
      </c>
      <c r="AH34" s="145" t="s">
        <v>578</v>
      </c>
      <c r="AI34" s="145" t="s">
        <v>306</v>
      </c>
      <c r="AJ34" s="145" t="s">
        <v>306</v>
      </c>
      <c r="AK34" s="921"/>
    </row>
    <row r="35" spans="1:37" s="598" customFormat="1" ht="15" customHeight="1">
      <c r="A35" s="410" t="s">
        <v>600</v>
      </c>
      <c r="B35" s="148" t="s">
        <v>601</v>
      </c>
      <c r="C35" s="145" t="s">
        <v>1283</v>
      </c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68"/>
      <c r="Q35" s="68"/>
      <c r="R35" s="68">
        <v>107</v>
      </c>
      <c r="S35" s="68">
        <v>4</v>
      </c>
      <c r="T35" s="747"/>
      <c r="U35" s="747"/>
      <c r="V35" s="744" t="s">
        <v>575</v>
      </c>
      <c r="W35" s="747">
        <v>16</v>
      </c>
      <c r="X35" s="747"/>
      <c r="Y35" s="747"/>
      <c r="Z35" s="747"/>
      <c r="AA35" s="747"/>
      <c r="AB35" s="145">
        <v>0</v>
      </c>
      <c r="AC35" s="145">
        <v>0</v>
      </c>
      <c r="AD35" s="145" t="s">
        <v>610</v>
      </c>
      <c r="AE35" s="145">
        <v>4</v>
      </c>
      <c r="AF35" s="145" t="s">
        <v>575</v>
      </c>
      <c r="AG35" s="145" t="s">
        <v>575</v>
      </c>
      <c r="AH35" s="145" t="s">
        <v>575</v>
      </c>
      <c r="AI35" s="145" t="s">
        <v>575</v>
      </c>
      <c r="AJ35" s="145" t="s">
        <v>575</v>
      </c>
      <c r="AK35" s="921"/>
    </row>
    <row r="36" spans="1:37" s="598" customFormat="1" ht="60">
      <c r="A36" s="410" t="s">
        <v>823</v>
      </c>
      <c r="B36" s="145" t="s">
        <v>824</v>
      </c>
      <c r="C36" s="2" t="s">
        <v>825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68"/>
      <c r="Q36" s="68"/>
      <c r="R36" s="68">
        <v>25</v>
      </c>
      <c r="S36" s="68">
        <v>0.8</v>
      </c>
      <c r="T36" s="747"/>
      <c r="U36" s="747"/>
      <c r="V36" s="744" t="s">
        <v>575</v>
      </c>
      <c r="W36" s="747">
        <v>8.8</v>
      </c>
      <c r="X36" s="747"/>
      <c r="Y36" s="747"/>
      <c r="Z36" s="747"/>
      <c r="AA36" s="747"/>
      <c r="AB36" s="145">
        <v>0</v>
      </c>
      <c r="AC36" s="145">
        <v>0</v>
      </c>
      <c r="AD36" s="145" t="s">
        <v>610</v>
      </c>
      <c r="AE36" s="145">
        <v>10</v>
      </c>
      <c r="AF36" s="145"/>
      <c r="AG36" s="145"/>
      <c r="AH36" s="145"/>
      <c r="AI36" s="145"/>
      <c r="AJ36" s="145"/>
      <c r="AK36" s="921"/>
    </row>
    <row r="37" spans="1:37" s="598" customFormat="1" ht="47.25" hidden="1">
      <c r="A37" s="410" t="s">
        <v>1284</v>
      </c>
      <c r="B37" s="922" t="s">
        <v>1285</v>
      </c>
      <c r="C37" s="923"/>
      <c r="D37" s="923"/>
      <c r="E37" s="923"/>
      <c r="F37" s="923"/>
      <c r="G37" s="923"/>
      <c r="H37" s="923"/>
      <c r="I37" s="923"/>
      <c r="J37" s="923"/>
      <c r="K37" s="923"/>
      <c r="L37" s="923"/>
      <c r="M37" s="923"/>
      <c r="N37" s="923"/>
      <c r="O37" s="923"/>
      <c r="P37" s="822"/>
      <c r="Q37" s="822"/>
      <c r="R37" s="822"/>
      <c r="S37" s="822"/>
      <c r="T37" s="822"/>
      <c r="U37" s="822"/>
      <c r="V37" s="822"/>
      <c r="W37" s="822"/>
      <c r="X37" s="822"/>
      <c r="Y37" s="822"/>
      <c r="Z37" s="822"/>
      <c r="AA37" s="822"/>
      <c r="AB37" s="822"/>
      <c r="AC37" s="822"/>
      <c r="AD37" s="822"/>
      <c r="AE37" s="822"/>
      <c r="AF37" s="145"/>
      <c r="AG37" s="145"/>
      <c r="AH37" s="145"/>
      <c r="AI37" s="145"/>
      <c r="AJ37" s="145"/>
      <c r="AK37" s="921"/>
    </row>
    <row r="38" spans="1:37" s="598" customFormat="1" ht="47.25" hidden="1">
      <c r="A38" s="924" t="s">
        <v>1286</v>
      </c>
      <c r="B38" s="922" t="s">
        <v>1287</v>
      </c>
      <c r="C38" s="923"/>
      <c r="D38" s="923"/>
      <c r="E38" s="923"/>
      <c r="F38" s="923"/>
      <c r="G38" s="923"/>
      <c r="H38" s="923"/>
      <c r="I38" s="923"/>
      <c r="J38" s="923"/>
      <c r="K38" s="923"/>
      <c r="L38" s="923"/>
      <c r="M38" s="923"/>
      <c r="N38" s="923"/>
      <c r="O38" s="923"/>
      <c r="P38" s="822"/>
      <c r="Q38" s="822"/>
      <c r="R38" s="822"/>
      <c r="S38" s="822"/>
      <c r="T38" s="822"/>
      <c r="U38" s="822"/>
      <c r="V38" s="822"/>
      <c r="W38" s="822"/>
      <c r="X38" s="822"/>
      <c r="Y38" s="822"/>
      <c r="Z38" s="822"/>
      <c r="AA38" s="822"/>
      <c r="AB38" s="822"/>
      <c r="AC38" s="822"/>
      <c r="AD38" s="822"/>
      <c r="AE38" s="822"/>
      <c r="AF38" s="145"/>
      <c r="AG38" s="145"/>
      <c r="AH38" s="145"/>
      <c r="AI38" s="145"/>
      <c r="AJ38" s="145"/>
      <c r="AK38" s="921"/>
    </row>
    <row r="39" spans="1:37" s="598" customFormat="1" ht="31.5" hidden="1">
      <c r="A39" s="924" t="s">
        <v>1288</v>
      </c>
      <c r="B39" s="922" t="s">
        <v>1289</v>
      </c>
      <c r="C39" s="923"/>
      <c r="D39" s="923"/>
      <c r="E39" s="923"/>
      <c r="F39" s="923"/>
      <c r="G39" s="923"/>
      <c r="H39" s="923"/>
      <c r="I39" s="923"/>
      <c r="J39" s="923"/>
      <c r="K39" s="923"/>
      <c r="L39" s="923"/>
      <c r="M39" s="923"/>
      <c r="N39" s="923"/>
      <c r="O39" s="923"/>
      <c r="P39" s="822"/>
      <c r="Q39" s="822"/>
      <c r="R39" s="822"/>
      <c r="S39" s="822"/>
      <c r="T39" s="822"/>
      <c r="U39" s="822"/>
      <c r="V39" s="822"/>
      <c r="W39" s="822"/>
      <c r="X39" s="822"/>
      <c r="Y39" s="822"/>
      <c r="Z39" s="822"/>
      <c r="AA39" s="822"/>
      <c r="AB39" s="822"/>
      <c r="AC39" s="822"/>
      <c r="AD39" s="822"/>
      <c r="AE39" s="822"/>
      <c r="AF39" s="145"/>
      <c r="AG39" s="145"/>
      <c r="AH39" s="145"/>
      <c r="AI39" s="145"/>
      <c r="AJ39" s="145"/>
      <c r="AK39" s="921"/>
    </row>
    <row r="40" spans="1:37" s="598" customFormat="1" ht="31.5" hidden="1">
      <c r="A40" s="924" t="s">
        <v>1290</v>
      </c>
      <c r="B40" s="922" t="s">
        <v>1291</v>
      </c>
      <c r="C40" s="923"/>
      <c r="D40" s="923"/>
      <c r="E40" s="923"/>
      <c r="F40" s="923"/>
      <c r="G40" s="923"/>
      <c r="H40" s="923"/>
      <c r="I40" s="923"/>
      <c r="J40" s="923"/>
      <c r="K40" s="923"/>
      <c r="L40" s="923"/>
      <c r="M40" s="923"/>
      <c r="N40" s="923"/>
      <c r="O40" s="923"/>
      <c r="P40" s="822"/>
      <c r="Q40" s="822"/>
      <c r="R40" s="822"/>
      <c r="S40" s="822"/>
      <c r="T40" s="822"/>
      <c r="U40" s="822"/>
      <c r="V40" s="822"/>
      <c r="W40" s="822"/>
      <c r="X40" s="822"/>
      <c r="Y40" s="822"/>
      <c r="Z40" s="822"/>
      <c r="AA40" s="822"/>
      <c r="AB40" s="822"/>
      <c r="AC40" s="822"/>
      <c r="AD40" s="822"/>
      <c r="AE40" s="822"/>
      <c r="AF40" s="145"/>
      <c r="AG40" s="145"/>
      <c r="AH40" s="145"/>
      <c r="AI40" s="145"/>
      <c r="AJ40" s="145"/>
      <c r="AK40" s="921"/>
    </row>
    <row r="41" spans="1:37" s="598" customFormat="1" ht="31.5" hidden="1">
      <c r="A41" s="924" t="s">
        <v>1292</v>
      </c>
      <c r="B41" s="922" t="s">
        <v>1293</v>
      </c>
      <c r="C41" s="923"/>
      <c r="D41" s="923"/>
      <c r="E41" s="923"/>
      <c r="F41" s="923"/>
      <c r="G41" s="923"/>
      <c r="H41" s="923"/>
      <c r="I41" s="923"/>
      <c r="J41" s="923"/>
      <c r="K41" s="923"/>
      <c r="L41" s="923"/>
      <c r="M41" s="923"/>
      <c r="N41" s="923"/>
      <c r="O41" s="923"/>
      <c r="P41" s="822"/>
      <c r="Q41" s="822"/>
      <c r="R41" s="822"/>
      <c r="S41" s="822"/>
      <c r="T41" s="822"/>
      <c r="U41" s="822"/>
      <c r="V41" s="822"/>
      <c r="W41" s="822"/>
      <c r="X41" s="822"/>
      <c r="Y41" s="822"/>
      <c r="Z41" s="822"/>
      <c r="AA41" s="822"/>
      <c r="AB41" s="822"/>
      <c r="AC41" s="822"/>
      <c r="AD41" s="822"/>
      <c r="AE41" s="822"/>
      <c r="AF41" s="145"/>
      <c r="AG41" s="145"/>
      <c r="AH41" s="145"/>
      <c r="AI41" s="145"/>
      <c r="AJ41" s="145"/>
      <c r="AK41" s="921"/>
    </row>
    <row r="42" spans="1:37" s="598" customFormat="1" ht="31.5" hidden="1">
      <c r="A42" s="924" t="s">
        <v>1294</v>
      </c>
      <c r="B42" s="922" t="s">
        <v>1295</v>
      </c>
      <c r="C42" s="923"/>
      <c r="D42" s="923"/>
      <c r="E42" s="923"/>
      <c r="F42" s="923"/>
      <c r="G42" s="923"/>
      <c r="H42" s="923"/>
      <c r="I42" s="923"/>
      <c r="J42" s="923"/>
      <c r="K42" s="923"/>
      <c r="L42" s="923"/>
      <c r="M42" s="923"/>
      <c r="N42" s="923"/>
      <c r="O42" s="923"/>
      <c r="P42" s="822"/>
      <c r="Q42" s="822"/>
      <c r="R42" s="822"/>
      <c r="S42" s="822"/>
      <c r="T42" s="822"/>
      <c r="U42" s="822"/>
      <c r="V42" s="822"/>
      <c r="W42" s="822"/>
      <c r="X42" s="822"/>
      <c r="Y42" s="822"/>
      <c r="Z42" s="822"/>
      <c r="AA42" s="822"/>
      <c r="AB42" s="822"/>
      <c r="AC42" s="822"/>
      <c r="AD42" s="822"/>
      <c r="AE42" s="822"/>
      <c r="AF42" s="145"/>
      <c r="AG42" s="145"/>
      <c r="AH42" s="145"/>
      <c r="AI42" s="145"/>
      <c r="AJ42" s="145"/>
      <c r="AK42" s="921"/>
    </row>
    <row r="43" spans="1:37" s="598" customFormat="1" ht="31.5" hidden="1">
      <c r="A43" s="924" t="s">
        <v>1296</v>
      </c>
      <c r="B43" s="922" t="s">
        <v>1297</v>
      </c>
      <c r="C43" s="923"/>
      <c r="D43" s="923"/>
      <c r="E43" s="923"/>
      <c r="F43" s="923"/>
      <c r="G43" s="923"/>
      <c r="H43" s="923"/>
      <c r="I43" s="923"/>
      <c r="J43" s="923"/>
      <c r="K43" s="923"/>
      <c r="L43" s="923"/>
      <c r="M43" s="923"/>
      <c r="N43" s="923"/>
      <c r="O43" s="923"/>
      <c r="P43" s="822"/>
      <c r="Q43" s="822"/>
      <c r="R43" s="822"/>
      <c r="S43" s="822"/>
      <c r="T43" s="822"/>
      <c r="U43" s="822"/>
      <c r="V43" s="822"/>
      <c r="W43" s="822"/>
      <c r="X43" s="822"/>
      <c r="Y43" s="822"/>
      <c r="Z43" s="822"/>
      <c r="AA43" s="822"/>
      <c r="AB43" s="822"/>
      <c r="AC43" s="822"/>
      <c r="AD43" s="822"/>
      <c r="AE43" s="822"/>
      <c r="AF43" s="145"/>
      <c r="AG43" s="145"/>
      <c r="AH43" s="145"/>
      <c r="AI43" s="145"/>
      <c r="AJ43" s="145"/>
      <c r="AK43" s="921"/>
    </row>
    <row r="44" spans="1:37" s="598" customFormat="1" ht="15" customHeight="1" hidden="1">
      <c r="A44" s="925" t="s">
        <v>192</v>
      </c>
      <c r="B44" s="145" t="s">
        <v>189</v>
      </c>
      <c r="C44" s="145" t="s">
        <v>193</v>
      </c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822"/>
      <c r="Q44" s="822"/>
      <c r="R44" s="822"/>
      <c r="S44" s="822"/>
      <c r="T44" s="822"/>
      <c r="U44" s="822"/>
      <c r="V44" s="822"/>
      <c r="W44" s="822"/>
      <c r="X44" s="822"/>
      <c r="Y44" s="822"/>
      <c r="Z44" s="822"/>
      <c r="AA44" s="822"/>
      <c r="AB44" s="822"/>
      <c r="AC44" s="822"/>
      <c r="AD44" s="822"/>
      <c r="AE44" s="822"/>
      <c r="AF44" s="145"/>
      <c r="AG44" s="145"/>
      <c r="AH44" s="145"/>
      <c r="AI44" s="145"/>
      <c r="AJ44" s="145"/>
      <c r="AK44" s="926"/>
    </row>
    <row r="45" spans="1:37" s="598" customFormat="1" ht="30" hidden="1">
      <c r="A45" s="925" t="s">
        <v>828</v>
      </c>
      <c r="B45" s="145" t="s">
        <v>829</v>
      </c>
      <c r="C45" s="145" t="s">
        <v>830</v>
      </c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822"/>
      <c r="Q45" s="822"/>
      <c r="R45" s="822"/>
      <c r="S45" s="822"/>
      <c r="T45" s="822"/>
      <c r="U45" s="822"/>
      <c r="V45" s="822"/>
      <c r="W45" s="822"/>
      <c r="X45" s="822"/>
      <c r="Y45" s="822"/>
      <c r="Z45" s="822"/>
      <c r="AA45" s="822"/>
      <c r="AB45" s="822"/>
      <c r="AC45" s="822"/>
      <c r="AD45" s="822"/>
      <c r="AE45" s="822"/>
      <c r="AF45" s="145"/>
      <c r="AG45" s="145"/>
      <c r="AH45" s="145"/>
      <c r="AI45" s="145"/>
      <c r="AJ45" s="145"/>
      <c r="AK45" s="927"/>
    </row>
    <row r="46" spans="1:37" s="598" customFormat="1" ht="15.75">
      <c r="A46" s="560" t="s">
        <v>1299</v>
      </c>
      <c r="B46" s="909" t="s">
        <v>1300</v>
      </c>
      <c r="C46" s="928" t="s">
        <v>1378</v>
      </c>
      <c r="D46" s="145"/>
      <c r="E46" s="145"/>
      <c r="F46" s="145"/>
      <c r="G46" s="145"/>
      <c r="H46" s="145"/>
      <c r="I46" s="145"/>
      <c r="J46" s="145">
        <v>1</v>
      </c>
      <c r="K46" s="621">
        <v>2</v>
      </c>
      <c r="L46" s="145"/>
      <c r="M46" s="145"/>
      <c r="N46" s="145"/>
      <c r="O46" s="145"/>
      <c r="P46" s="145"/>
      <c r="Q46" s="145"/>
      <c r="R46" s="145" t="s">
        <v>575</v>
      </c>
      <c r="S46" s="145">
        <v>3</v>
      </c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927"/>
    </row>
    <row r="47" spans="1:37" s="598" customFormat="1" ht="30">
      <c r="A47" s="925" t="s">
        <v>660</v>
      </c>
      <c r="B47" s="145" t="s">
        <v>661</v>
      </c>
      <c r="C47" s="145" t="s">
        <v>1301</v>
      </c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822"/>
      <c r="Q47" s="822"/>
      <c r="R47" s="822"/>
      <c r="S47" s="822"/>
      <c r="T47" s="747"/>
      <c r="U47" s="747"/>
      <c r="V47" s="917" t="s">
        <v>575</v>
      </c>
      <c r="W47" s="747">
        <v>10</v>
      </c>
      <c r="X47" s="747"/>
      <c r="Y47" s="747"/>
      <c r="Z47" s="747"/>
      <c r="AA47" s="747"/>
      <c r="AB47" s="747"/>
      <c r="AC47" s="747"/>
      <c r="AD47" s="747" t="s">
        <v>610</v>
      </c>
      <c r="AE47" s="747">
        <v>2.5</v>
      </c>
      <c r="AF47" s="145" t="s">
        <v>15</v>
      </c>
      <c r="AG47" s="145">
        <v>25</v>
      </c>
      <c r="AH47" s="145" t="s">
        <v>663</v>
      </c>
      <c r="AI47" s="145" t="s">
        <v>306</v>
      </c>
      <c r="AJ47" s="145" t="s">
        <v>64</v>
      </c>
      <c r="AK47" s="2" t="s">
        <v>64</v>
      </c>
    </row>
    <row r="48" spans="1:37" s="598" customFormat="1" ht="25.5" customHeight="1">
      <c r="A48" s="925" t="s">
        <v>833</v>
      </c>
      <c r="B48" s="145" t="s">
        <v>834</v>
      </c>
      <c r="C48" s="145" t="s">
        <v>835</v>
      </c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68"/>
      <c r="Q48" s="68"/>
      <c r="R48" s="68" t="s">
        <v>575</v>
      </c>
      <c r="S48" s="68">
        <v>0.5</v>
      </c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145"/>
      <c r="AG48" s="145"/>
      <c r="AH48" s="145"/>
      <c r="AI48" s="145"/>
      <c r="AJ48" s="145"/>
      <c r="AK48" s="640"/>
    </row>
    <row r="49" spans="1:37" s="598" customFormat="1" ht="30">
      <c r="A49" s="925" t="s">
        <v>836</v>
      </c>
      <c r="B49" s="145" t="s">
        <v>837</v>
      </c>
      <c r="C49" s="145" t="s">
        <v>838</v>
      </c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68"/>
      <c r="Q49" s="68"/>
      <c r="R49" s="68" t="s">
        <v>575</v>
      </c>
      <c r="S49" s="68">
        <v>2.4</v>
      </c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145"/>
      <c r="AG49" s="145"/>
      <c r="AH49" s="145"/>
      <c r="AI49" s="145"/>
      <c r="AJ49" s="145"/>
      <c r="AK49" s="640"/>
    </row>
    <row r="50" spans="1:37" s="598" customFormat="1" ht="30">
      <c r="A50" s="925" t="s">
        <v>839</v>
      </c>
      <c r="B50" s="145" t="s">
        <v>840</v>
      </c>
      <c r="C50" s="145" t="s">
        <v>841</v>
      </c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68"/>
      <c r="Q50" s="68"/>
      <c r="R50" s="68" t="s">
        <v>575</v>
      </c>
      <c r="S50" s="68">
        <v>0.3</v>
      </c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145"/>
      <c r="AG50" s="145"/>
      <c r="AH50" s="145"/>
      <c r="AI50" s="145"/>
      <c r="AJ50" s="145"/>
      <c r="AK50" s="640"/>
    </row>
    <row r="51" spans="1:37" s="598" customFormat="1" ht="120">
      <c r="A51" s="925" t="s">
        <v>842</v>
      </c>
      <c r="B51" s="145" t="s">
        <v>843</v>
      </c>
      <c r="C51" s="145" t="s">
        <v>844</v>
      </c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68"/>
      <c r="Q51" s="68"/>
      <c r="R51" s="68" t="s">
        <v>575</v>
      </c>
      <c r="S51" s="68">
        <v>1.5</v>
      </c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145"/>
      <c r="AG51" s="145"/>
      <c r="AH51" s="145"/>
      <c r="AI51" s="145"/>
      <c r="AJ51" s="145"/>
      <c r="AK51" s="640"/>
    </row>
    <row r="52" spans="1:37" s="598" customFormat="1" ht="75">
      <c r="A52" s="925" t="s">
        <v>845</v>
      </c>
      <c r="B52" s="145" t="s">
        <v>846</v>
      </c>
      <c r="C52" s="145" t="s">
        <v>610</v>
      </c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68"/>
      <c r="Q52" s="68"/>
      <c r="R52" s="68" t="s">
        <v>575</v>
      </c>
      <c r="S52" s="68">
        <v>0.4</v>
      </c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145"/>
      <c r="AG52" s="145"/>
      <c r="AH52" s="145"/>
      <c r="AI52" s="145"/>
      <c r="AJ52" s="145"/>
      <c r="AK52" s="640"/>
    </row>
    <row r="53" spans="1:37" s="598" customFormat="1" ht="45">
      <c r="A53" s="925" t="s">
        <v>735</v>
      </c>
      <c r="B53" s="145"/>
      <c r="C53" s="145" t="s">
        <v>736</v>
      </c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68"/>
      <c r="Q53" s="68"/>
      <c r="R53" s="68" t="s">
        <v>575</v>
      </c>
      <c r="S53" s="68">
        <v>1</v>
      </c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145" t="s">
        <v>15</v>
      </c>
      <c r="AG53" s="145"/>
      <c r="AH53" s="145" t="s">
        <v>663</v>
      </c>
      <c r="AI53" s="145" t="s">
        <v>306</v>
      </c>
      <c r="AJ53" s="145" t="s">
        <v>64</v>
      </c>
      <c r="AK53" s="640"/>
    </row>
    <row r="54" spans="1:37" s="598" customFormat="1" ht="75" hidden="1">
      <c r="A54" s="925" t="s">
        <v>1304</v>
      </c>
      <c r="B54" s="145" t="s">
        <v>1305</v>
      </c>
      <c r="C54" s="923"/>
      <c r="D54" s="923"/>
      <c r="E54" s="923"/>
      <c r="F54" s="923"/>
      <c r="G54" s="923"/>
      <c r="H54" s="923"/>
      <c r="I54" s="923"/>
      <c r="J54" s="923"/>
      <c r="K54" s="923"/>
      <c r="L54" s="923"/>
      <c r="M54" s="923"/>
      <c r="N54" s="923"/>
      <c r="O54" s="923"/>
      <c r="P54" s="822"/>
      <c r="Q54" s="822"/>
      <c r="R54" s="822"/>
      <c r="S54" s="822"/>
      <c r="T54" s="822"/>
      <c r="U54" s="822"/>
      <c r="V54" s="822"/>
      <c r="W54" s="822"/>
      <c r="X54" s="822"/>
      <c r="Y54" s="822"/>
      <c r="Z54" s="822"/>
      <c r="AA54" s="822"/>
      <c r="AB54" s="822"/>
      <c r="AC54" s="822"/>
      <c r="AD54" s="822"/>
      <c r="AE54" s="822"/>
      <c r="AF54" s="145"/>
      <c r="AG54" s="145"/>
      <c r="AH54" s="145"/>
      <c r="AI54" s="145"/>
      <c r="AJ54" s="145"/>
      <c r="AK54" s="640"/>
    </row>
    <row r="55" spans="1:37" s="598" customFormat="1" ht="60" hidden="1">
      <c r="A55" s="925" t="s">
        <v>1306</v>
      </c>
      <c r="B55" s="145" t="s">
        <v>1307</v>
      </c>
      <c r="C55" s="923"/>
      <c r="D55" s="923"/>
      <c r="E55" s="923"/>
      <c r="F55" s="923"/>
      <c r="G55" s="923"/>
      <c r="H55" s="923"/>
      <c r="I55" s="923"/>
      <c r="J55" s="923"/>
      <c r="K55" s="923"/>
      <c r="L55" s="923"/>
      <c r="M55" s="923"/>
      <c r="N55" s="923"/>
      <c r="O55" s="923"/>
      <c r="P55" s="822"/>
      <c r="Q55" s="822"/>
      <c r="R55" s="822"/>
      <c r="S55" s="822"/>
      <c r="T55" s="822"/>
      <c r="U55" s="822"/>
      <c r="V55" s="822"/>
      <c r="W55" s="822"/>
      <c r="X55" s="822"/>
      <c r="Y55" s="822"/>
      <c r="Z55" s="822"/>
      <c r="AA55" s="822"/>
      <c r="AB55" s="822"/>
      <c r="AC55" s="822"/>
      <c r="AD55" s="822"/>
      <c r="AE55" s="822"/>
      <c r="AF55" s="145"/>
      <c r="AG55" s="145"/>
      <c r="AH55" s="145"/>
      <c r="AI55" s="145"/>
      <c r="AJ55" s="145"/>
      <c r="AK55" s="640"/>
    </row>
    <row r="56" spans="1:37" s="598" customFormat="1" ht="90" hidden="1">
      <c r="A56" s="925" t="s">
        <v>1308</v>
      </c>
      <c r="B56" s="145" t="s">
        <v>1309</v>
      </c>
      <c r="C56" s="923"/>
      <c r="D56" s="923"/>
      <c r="E56" s="923"/>
      <c r="F56" s="923"/>
      <c r="G56" s="923"/>
      <c r="H56" s="923"/>
      <c r="I56" s="923"/>
      <c r="J56" s="923"/>
      <c r="K56" s="923"/>
      <c r="L56" s="923"/>
      <c r="M56" s="923"/>
      <c r="N56" s="923"/>
      <c r="O56" s="923"/>
      <c r="P56" s="822"/>
      <c r="Q56" s="822"/>
      <c r="R56" s="822"/>
      <c r="S56" s="822"/>
      <c r="T56" s="822"/>
      <c r="U56" s="822"/>
      <c r="V56" s="822"/>
      <c r="W56" s="822"/>
      <c r="X56" s="822"/>
      <c r="Y56" s="822"/>
      <c r="Z56" s="822"/>
      <c r="AA56" s="822"/>
      <c r="AB56" s="822"/>
      <c r="AC56" s="822"/>
      <c r="AD56" s="822"/>
      <c r="AE56" s="822"/>
      <c r="AF56" s="145"/>
      <c r="AG56" s="145"/>
      <c r="AH56" s="145"/>
      <c r="AI56" s="145"/>
      <c r="AJ56" s="145"/>
      <c r="AK56" s="640"/>
    </row>
    <row r="57" spans="1:37" s="598" customFormat="1" ht="45" hidden="1">
      <c r="A57" s="925" t="s">
        <v>1310</v>
      </c>
      <c r="B57" s="145" t="s">
        <v>1311</v>
      </c>
      <c r="C57" s="145" t="s">
        <v>1312</v>
      </c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822"/>
      <c r="Q57" s="822"/>
      <c r="R57" s="822"/>
      <c r="S57" s="822"/>
      <c r="T57" s="822"/>
      <c r="U57" s="822"/>
      <c r="V57" s="822"/>
      <c r="W57" s="822"/>
      <c r="X57" s="822"/>
      <c r="Y57" s="822"/>
      <c r="Z57" s="822"/>
      <c r="AA57" s="822"/>
      <c r="AB57" s="822"/>
      <c r="AC57" s="822"/>
      <c r="AD57" s="822"/>
      <c r="AE57" s="822"/>
      <c r="AF57" s="145"/>
      <c r="AG57" s="145"/>
      <c r="AH57" s="145"/>
      <c r="AI57" s="145"/>
      <c r="AJ57" s="145"/>
      <c r="AK57" s="640"/>
    </row>
    <row r="58" spans="1:37" s="598" customFormat="1" ht="15" customHeight="1" hidden="1">
      <c r="A58" s="925" t="s">
        <v>1313</v>
      </c>
      <c r="B58" s="929" t="s">
        <v>1314</v>
      </c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822"/>
      <c r="Q58" s="822"/>
      <c r="R58" s="822"/>
      <c r="S58" s="822"/>
      <c r="T58" s="822"/>
      <c r="U58" s="822"/>
      <c r="V58" s="822"/>
      <c r="W58" s="822"/>
      <c r="X58" s="822"/>
      <c r="Y58" s="822"/>
      <c r="Z58" s="822"/>
      <c r="AA58" s="822"/>
      <c r="AB58" s="822"/>
      <c r="AC58" s="822"/>
      <c r="AD58" s="822"/>
      <c r="AE58" s="822"/>
      <c r="AF58" s="145"/>
      <c r="AG58" s="145"/>
      <c r="AH58" s="145"/>
      <c r="AI58" s="145"/>
      <c r="AJ58" s="930"/>
      <c r="AK58" s="910"/>
    </row>
    <row r="59" spans="1:37" s="598" customFormat="1" ht="30">
      <c r="A59" s="925" t="s">
        <v>1315</v>
      </c>
      <c r="B59" s="145" t="s">
        <v>1316</v>
      </c>
      <c r="C59" s="145" t="s">
        <v>1312</v>
      </c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822"/>
      <c r="Q59" s="822"/>
      <c r="R59" s="822"/>
      <c r="S59" s="822"/>
      <c r="T59" s="822"/>
      <c r="U59" s="822"/>
      <c r="V59" s="822"/>
      <c r="W59" s="822"/>
      <c r="X59" s="822"/>
      <c r="Y59" s="822"/>
      <c r="Z59" s="822"/>
      <c r="AA59" s="822"/>
      <c r="AB59" s="822"/>
      <c r="AC59" s="822"/>
      <c r="AD59" s="822"/>
      <c r="AE59" s="822"/>
      <c r="AF59" s="145" t="s">
        <v>610</v>
      </c>
      <c r="AG59" s="145" t="s">
        <v>610</v>
      </c>
      <c r="AH59" s="145" t="s">
        <v>610</v>
      </c>
      <c r="AI59" s="145" t="s">
        <v>610</v>
      </c>
      <c r="AJ59" s="145" t="s">
        <v>610</v>
      </c>
      <c r="AK59" s="931"/>
    </row>
    <row r="60" spans="1:37" s="598" customFormat="1" ht="15" customHeight="1">
      <c r="A60" s="925" t="s">
        <v>852</v>
      </c>
      <c r="B60" s="145" t="s">
        <v>853</v>
      </c>
      <c r="C60" s="145" t="s">
        <v>610</v>
      </c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822"/>
      <c r="Q60" s="822"/>
      <c r="R60" s="822"/>
      <c r="S60" s="822"/>
      <c r="T60" s="747"/>
      <c r="U60" s="747"/>
      <c r="V60" s="917" t="s">
        <v>575</v>
      </c>
      <c r="W60" s="747">
        <v>2</v>
      </c>
      <c r="X60" s="747"/>
      <c r="Y60" s="747"/>
      <c r="Z60" s="747"/>
      <c r="AA60" s="747"/>
      <c r="AB60" s="747"/>
      <c r="AC60" s="747"/>
      <c r="AD60" s="747" t="s">
        <v>610</v>
      </c>
      <c r="AE60" s="747">
        <v>0.5</v>
      </c>
      <c r="AF60" s="145"/>
      <c r="AG60" s="145"/>
      <c r="AH60" s="145"/>
      <c r="AI60" s="145"/>
      <c r="AJ60" s="145"/>
      <c r="AK60" s="640"/>
    </row>
    <row r="61" spans="1:37" s="598" customFormat="1" ht="30" hidden="1">
      <c r="A61" s="925" t="s">
        <v>847</v>
      </c>
      <c r="B61" s="145" t="s">
        <v>848</v>
      </c>
      <c r="C61" s="145" t="s">
        <v>610</v>
      </c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822"/>
      <c r="Q61" s="822"/>
      <c r="R61" s="822"/>
      <c r="S61" s="822"/>
      <c r="T61" s="822"/>
      <c r="U61" s="822"/>
      <c r="V61" s="822"/>
      <c r="W61" s="822"/>
      <c r="X61" s="822"/>
      <c r="Y61" s="822"/>
      <c r="Z61" s="822"/>
      <c r="AA61" s="822"/>
      <c r="AB61" s="822"/>
      <c r="AC61" s="822"/>
      <c r="AD61" s="822"/>
      <c r="AE61" s="822"/>
      <c r="AF61" s="145"/>
      <c r="AG61" s="145"/>
      <c r="AH61" s="145"/>
      <c r="AI61" s="145"/>
      <c r="AJ61" s="145"/>
      <c r="AK61" s="640"/>
    </row>
    <row r="62" spans="1:37" s="598" customFormat="1" ht="30" hidden="1">
      <c r="A62" s="925" t="s">
        <v>849</v>
      </c>
      <c r="B62" s="145" t="s">
        <v>850</v>
      </c>
      <c r="C62" s="145" t="s">
        <v>851</v>
      </c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822"/>
      <c r="Q62" s="822"/>
      <c r="R62" s="822"/>
      <c r="S62" s="822"/>
      <c r="T62" s="822"/>
      <c r="U62" s="822"/>
      <c r="V62" s="822"/>
      <c r="W62" s="822"/>
      <c r="X62" s="822"/>
      <c r="Y62" s="822"/>
      <c r="Z62" s="822"/>
      <c r="AA62" s="822"/>
      <c r="AB62" s="822"/>
      <c r="AC62" s="822"/>
      <c r="AD62" s="822"/>
      <c r="AE62" s="822"/>
      <c r="AF62" s="145"/>
      <c r="AG62" s="145"/>
      <c r="AH62" s="145"/>
      <c r="AI62" s="145"/>
      <c r="AJ62" s="145"/>
      <c r="AK62" s="640"/>
    </row>
    <row r="63" spans="1:37" s="598" customFormat="1" ht="75" hidden="1">
      <c r="A63" s="925" t="s">
        <v>1321</v>
      </c>
      <c r="B63" s="145" t="s">
        <v>1322</v>
      </c>
      <c r="C63" s="145" t="s">
        <v>1323</v>
      </c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822"/>
      <c r="Q63" s="822"/>
      <c r="R63" s="822"/>
      <c r="S63" s="822"/>
      <c r="T63" s="822"/>
      <c r="U63" s="822"/>
      <c r="V63" s="822"/>
      <c r="W63" s="822"/>
      <c r="X63" s="822"/>
      <c r="Y63" s="822"/>
      <c r="Z63" s="822"/>
      <c r="AA63" s="822"/>
      <c r="AB63" s="822"/>
      <c r="AC63" s="822"/>
      <c r="AD63" s="822"/>
      <c r="AE63" s="822"/>
      <c r="AF63" s="145"/>
      <c r="AG63" s="145"/>
      <c r="AH63" s="145"/>
      <c r="AI63" s="145"/>
      <c r="AJ63" s="145"/>
      <c r="AK63" s="640"/>
    </row>
    <row r="64" spans="1:37" s="598" customFormat="1" ht="30" hidden="1">
      <c r="A64" s="925" t="s">
        <v>602</v>
      </c>
      <c r="B64" s="145" t="s">
        <v>603</v>
      </c>
      <c r="C64" s="145" t="s">
        <v>604</v>
      </c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822"/>
      <c r="Q64" s="822"/>
      <c r="R64" s="822"/>
      <c r="S64" s="822"/>
      <c r="T64" s="822"/>
      <c r="U64" s="822"/>
      <c r="V64" s="822"/>
      <c r="W64" s="822"/>
      <c r="X64" s="822"/>
      <c r="Y64" s="822"/>
      <c r="Z64" s="822"/>
      <c r="AA64" s="822"/>
      <c r="AB64" s="822"/>
      <c r="AC64" s="822"/>
      <c r="AD64" s="822"/>
      <c r="AE64" s="822"/>
      <c r="AF64" s="145" t="s">
        <v>575</v>
      </c>
      <c r="AG64" s="145" t="s">
        <v>575</v>
      </c>
      <c r="AH64" s="145" t="s">
        <v>575</v>
      </c>
      <c r="AI64" s="145" t="s">
        <v>575</v>
      </c>
      <c r="AJ64" s="145" t="s">
        <v>575</v>
      </c>
      <c r="AK64" s="926"/>
    </row>
    <row r="65" spans="1:37" s="598" customFormat="1" ht="30" hidden="1">
      <c r="A65" s="925" t="s">
        <v>1337</v>
      </c>
      <c r="B65" s="145" t="s">
        <v>1338</v>
      </c>
      <c r="C65" s="145" t="s">
        <v>1339</v>
      </c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822"/>
      <c r="Q65" s="822"/>
      <c r="R65" s="822"/>
      <c r="S65" s="822"/>
      <c r="T65" s="822"/>
      <c r="U65" s="822"/>
      <c r="V65" s="822"/>
      <c r="W65" s="822"/>
      <c r="X65" s="822"/>
      <c r="Y65" s="822"/>
      <c r="Z65" s="822"/>
      <c r="AA65" s="822"/>
      <c r="AB65" s="822"/>
      <c r="AC65" s="822"/>
      <c r="AD65" s="822"/>
      <c r="AE65" s="822"/>
      <c r="AF65" s="145"/>
      <c r="AG65" s="145"/>
      <c r="AH65" s="145"/>
      <c r="AI65" s="145"/>
      <c r="AJ65" s="145"/>
      <c r="AK65" s="932"/>
    </row>
    <row r="66" spans="1:37" s="598" customFormat="1" ht="63.75" thickBot="1">
      <c r="A66" s="933">
        <v>4.2</v>
      </c>
      <c r="B66" s="911" t="s">
        <v>1379</v>
      </c>
      <c r="C66" s="779" t="s">
        <v>1380</v>
      </c>
      <c r="D66" s="145"/>
      <c r="E66" s="145"/>
      <c r="F66" s="145"/>
      <c r="G66" s="145"/>
      <c r="H66" s="145"/>
      <c r="I66" s="145"/>
      <c r="J66" s="145"/>
      <c r="K66" s="912">
        <v>2</v>
      </c>
      <c r="L66" s="145"/>
      <c r="M66" s="145"/>
      <c r="N66" s="145"/>
      <c r="O66" s="145"/>
      <c r="P66" s="822"/>
      <c r="Q66" s="822"/>
      <c r="R66" s="822"/>
      <c r="S66" s="822"/>
      <c r="T66" s="822"/>
      <c r="U66" s="822"/>
      <c r="V66" s="822"/>
      <c r="W66" s="822"/>
      <c r="X66" s="822"/>
      <c r="Y66" s="822"/>
      <c r="Z66" s="822"/>
      <c r="AA66" s="822"/>
      <c r="AB66" s="822"/>
      <c r="AC66" s="822"/>
      <c r="AD66" s="822"/>
      <c r="AE66" s="822"/>
      <c r="AF66" s="913" t="s">
        <v>35</v>
      </c>
      <c r="AG66" s="145"/>
      <c r="AH66" s="145"/>
      <c r="AI66" s="145"/>
      <c r="AJ66" s="145"/>
      <c r="AK66" s="160"/>
    </row>
    <row r="67" spans="1:37" s="598" customFormat="1" ht="75.75" hidden="1" thickBot="1">
      <c r="A67" s="829">
        <v>6</v>
      </c>
      <c r="B67" s="150" t="s">
        <v>664</v>
      </c>
      <c r="C67" s="145" t="s">
        <v>662</v>
      </c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 t="s">
        <v>35</v>
      </c>
      <c r="AG67" s="145" t="s">
        <v>1381</v>
      </c>
      <c r="AH67" s="145" t="s">
        <v>663</v>
      </c>
      <c r="AI67" s="145" t="s">
        <v>306</v>
      </c>
      <c r="AJ67" s="145" t="s">
        <v>64</v>
      </c>
      <c r="AK67" s="160"/>
    </row>
    <row r="68" spans="1:37" s="598" customFormat="1" ht="16.5" thickBot="1">
      <c r="A68" s="934"/>
      <c r="B68" s="935"/>
      <c r="C68" s="936" t="s">
        <v>17</v>
      </c>
      <c r="D68" s="889">
        <f>SUM(D6:D66)</f>
        <v>0</v>
      </c>
      <c r="E68" s="889">
        <f aca="true" t="shared" si="0" ref="E68:AE68">SUM(E6:E66)</f>
        <v>0</v>
      </c>
      <c r="F68" s="889">
        <f t="shared" si="0"/>
        <v>323</v>
      </c>
      <c r="G68" s="889">
        <f t="shared" si="0"/>
        <v>17.05</v>
      </c>
      <c r="H68" s="889">
        <f t="shared" si="0"/>
        <v>45</v>
      </c>
      <c r="I68" s="889">
        <f t="shared" si="0"/>
        <v>61</v>
      </c>
      <c r="J68" s="889">
        <f t="shared" si="0"/>
        <v>170</v>
      </c>
      <c r="K68" s="889">
        <f t="shared" si="0"/>
        <v>14.020000000000001</v>
      </c>
      <c r="L68" s="889">
        <f t="shared" si="0"/>
        <v>0</v>
      </c>
      <c r="M68" s="889">
        <f t="shared" si="0"/>
        <v>0</v>
      </c>
      <c r="N68" s="889">
        <f t="shared" si="0"/>
        <v>0</v>
      </c>
      <c r="O68" s="889">
        <f t="shared" si="0"/>
        <v>0</v>
      </c>
      <c r="P68" s="889">
        <f t="shared" si="0"/>
        <v>0</v>
      </c>
      <c r="Q68" s="889">
        <f t="shared" si="0"/>
        <v>0</v>
      </c>
      <c r="R68" s="889">
        <f t="shared" si="0"/>
        <v>867</v>
      </c>
      <c r="S68" s="889">
        <f t="shared" si="0"/>
        <v>23.080000000000002</v>
      </c>
      <c r="T68" s="889">
        <f t="shared" si="0"/>
        <v>0</v>
      </c>
      <c r="U68" s="889">
        <f t="shared" si="0"/>
        <v>0</v>
      </c>
      <c r="V68" s="889">
        <f t="shared" si="0"/>
        <v>8739</v>
      </c>
      <c r="W68" s="889">
        <f t="shared" si="0"/>
        <v>98.66</v>
      </c>
      <c r="X68" s="889">
        <f t="shared" si="0"/>
        <v>0</v>
      </c>
      <c r="Y68" s="889">
        <f t="shared" si="0"/>
        <v>0</v>
      </c>
      <c r="Z68" s="889">
        <f t="shared" si="0"/>
        <v>0</v>
      </c>
      <c r="AA68" s="889">
        <f t="shared" si="0"/>
        <v>0</v>
      </c>
      <c r="AB68" s="889">
        <f t="shared" si="0"/>
        <v>650</v>
      </c>
      <c r="AC68" s="889">
        <f t="shared" si="0"/>
        <v>551</v>
      </c>
      <c r="AD68" s="889">
        <f t="shared" si="0"/>
        <v>40</v>
      </c>
      <c r="AE68" s="889">
        <f t="shared" si="0"/>
        <v>28.05</v>
      </c>
      <c r="AF68" s="937"/>
      <c r="AG68" s="937"/>
      <c r="AH68" s="937"/>
      <c r="AI68" s="938"/>
      <c r="AJ68" s="939"/>
      <c r="AK68" s="940"/>
    </row>
    <row r="69" spans="1:36" s="598" customFormat="1" ht="15.75">
      <c r="A69" s="23"/>
      <c r="B69" s="19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2"/>
      <c r="AG69" s="23"/>
      <c r="AH69" s="22"/>
      <c r="AI69" s="22"/>
      <c r="AJ69" s="22"/>
    </row>
    <row r="70" spans="1:36" s="598" customFormat="1" ht="15.75">
      <c r="A70" s="23"/>
      <c r="B70" s="893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2"/>
      <c r="AG70" s="23"/>
      <c r="AH70" s="22"/>
      <c r="AI70" s="22"/>
      <c r="AJ70" s="22"/>
    </row>
    <row r="71" spans="1:36" s="598" customFormat="1" ht="15.75">
      <c r="A71" s="23"/>
      <c r="B71" s="893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2"/>
      <c r="AG71" s="23"/>
      <c r="AH71" s="22"/>
      <c r="AI71" s="22"/>
      <c r="AJ71" s="22"/>
    </row>
    <row r="72" spans="1:36" s="598" customFormat="1" ht="15.75">
      <c r="A72" s="23"/>
      <c r="B72" s="893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2"/>
      <c r="AG72" s="23"/>
      <c r="AH72" s="22"/>
      <c r="AI72" s="22"/>
      <c r="AJ72" s="22"/>
    </row>
    <row r="73" spans="1:36" s="598" customFormat="1" ht="15.75">
      <c r="A73" s="23"/>
      <c r="B73" s="893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2"/>
      <c r="AG73" s="23"/>
      <c r="AH73" s="22"/>
      <c r="AI73" s="22"/>
      <c r="AJ73" s="22"/>
    </row>
    <row r="74" spans="1:36" s="598" customFormat="1" ht="15.75">
      <c r="A74" s="23"/>
      <c r="B74" s="89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22"/>
      <c r="AG74" s="23"/>
      <c r="AH74" s="22"/>
      <c r="AI74" s="22"/>
      <c r="AJ74" s="22"/>
    </row>
    <row r="75" spans="1:36" s="598" customFormat="1" ht="15.75">
      <c r="A75" s="23"/>
      <c r="B75" s="894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22"/>
      <c r="AG75" s="23"/>
      <c r="AH75" s="22"/>
      <c r="AI75" s="22"/>
      <c r="AJ75" s="22"/>
    </row>
    <row r="76" spans="1:36" s="598" customFormat="1" ht="15.75">
      <c r="A76" s="23"/>
      <c r="B76" s="89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22"/>
      <c r="AG76" s="23"/>
      <c r="AH76" s="22"/>
      <c r="AI76" s="22"/>
      <c r="AJ76" s="22"/>
    </row>
    <row r="77" spans="1:36" s="598" customFormat="1" ht="15.75">
      <c r="A77" s="23"/>
      <c r="B77" s="894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22"/>
      <c r="AG77" s="23"/>
      <c r="AH77" s="22"/>
      <c r="AI77" s="22"/>
      <c r="AJ77" s="22"/>
    </row>
    <row r="78" spans="1:36" s="598" customFormat="1" ht="15.75">
      <c r="A78" s="23"/>
      <c r="B78" s="894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22"/>
      <c r="AG78" s="23"/>
      <c r="AH78" s="22"/>
      <c r="AI78" s="22"/>
      <c r="AJ78" s="22"/>
    </row>
    <row r="79" spans="1:36" s="598" customFormat="1" ht="15.75">
      <c r="A79" s="23"/>
      <c r="B79" s="89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22"/>
      <c r="AG79" s="23"/>
      <c r="AH79" s="22"/>
      <c r="AI79" s="22"/>
      <c r="AJ79" s="22"/>
    </row>
    <row r="80" spans="1:36" s="598" customFormat="1" ht="15.75">
      <c r="A80" s="23"/>
      <c r="B80" s="894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22"/>
      <c r="AG80" s="23"/>
      <c r="AH80" s="22"/>
      <c r="AI80" s="22"/>
      <c r="AJ80" s="22"/>
    </row>
    <row r="81" spans="1:36" s="598" customFormat="1" ht="15.75">
      <c r="A81" s="23"/>
      <c r="B81" s="89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22"/>
      <c r="AG81" s="23"/>
      <c r="AH81" s="22"/>
      <c r="AI81" s="22"/>
      <c r="AJ81" s="22"/>
    </row>
    <row r="82" spans="1:36" s="598" customFormat="1" ht="15.75">
      <c r="A82" s="23"/>
      <c r="B82" s="894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22"/>
      <c r="AG82" s="23"/>
      <c r="AH82" s="22"/>
      <c r="AI82" s="22"/>
      <c r="AJ82" s="22"/>
    </row>
    <row r="83" spans="1:36" s="598" customFormat="1" ht="15.75">
      <c r="A83" s="23"/>
      <c r="B83" s="89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22"/>
      <c r="AG83" s="23"/>
      <c r="AH83" s="22"/>
      <c r="AI83" s="22"/>
      <c r="AJ83" s="22"/>
    </row>
    <row r="84" spans="1:36" s="598" customFormat="1" ht="15.75">
      <c r="A84" s="23"/>
      <c r="B84" s="894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22"/>
      <c r="AG84" s="23"/>
      <c r="AH84" s="22"/>
      <c r="AI84" s="22"/>
      <c r="AJ84" s="22"/>
    </row>
    <row r="85" spans="1:36" s="598" customFormat="1" ht="15.75">
      <c r="A85" s="23"/>
      <c r="B85" s="894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22"/>
      <c r="AG85" s="23"/>
      <c r="AH85" s="22"/>
      <c r="AI85" s="22"/>
      <c r="AJ85" s="22"/>
    </row>
    <row r="86" spans="1:36" s="598" customFormat="1" ht="15.75">
      <c r="A86" s="23"/>
      <c r="B86" s="894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22"/>
      <c r="AG86" s="23"/>
      <c r="AH86" s="22"/>
      <c r="AI86" s="22"/>
      <c r="AJ86" s="22"/>
    </row>
    <row r="87" spans="1:36" s="598" customFormat="1" ht="15.75">
      <c r="A87" s="23"/>
      <c r="B87" s="89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22"/>
      <c r="AG87" s="23"/>
      <c r="AH87" s="22"/>
      <c r="AI87" s="22"/>
      <c r="AJ87" s="22"/>
    </row>
    <row r="88" spans="1:36" s="598" customFormat="1" ht="15.75">
      <c r="A88" s="23"/>
      <c r="B88" s="894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22"/>
      <c r="AG88" s="23"/>
      <c r="AH88" s="22"/>
      <c r="AI88" s="22"/>
      <c r="AJ88" s="22"/>
    </row>
    <row r="89" spans="1:36" s="598" customFormat="1" ht="15.75">
      <c r="A89" s="23"/>
      <c r="B89" s="894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22"/>
      <c r="AG89" s="23"/>
      <c r="AH89" s="22"/>
      <c r="AI89" s="22"/>
      <c r="AJ89" s="22"/>
    </row>
    <row r="90" spans="1:36" s="598" customFormat="1" ht="15.75">
      <c r="A90" s="23"/>
      <c r="B90" s="89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22"/>
      <c r="AG90" s="23"/>
      <c r="AH90" s="22"/>
      <c r="AI90" s="22"/>
      <c r="AJ90" s="22"/>
    </row>
    <row r="91" spans="1:36" s="598" customFormat="1" ht="15.75">
      <c r="A91" s="23"/>
      <c r="B91" s="89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22"/>
      <c r="AG91" s="23"/>
      <c r="AH91" s="22"/>
      <c r="AI91" s="22"/>
      <c r="AJ91" s="22"/>
    </row>
    <row r="92" spans="1:36" s="598" customFormat="1" ht="15.75">
      <c r="A92" s="23"/>
      <c r="B92" s="89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22"/>
      <c r="AG92" s="23"/>
      <c r="AH92" s="22"/>
      <c r="AI92" s="22"/>
      <c r="AJ92" s="22"/>
    </row>
    <row r="93" spans="1:36" s="598" customFormat="1" ht="15.75">
      <c r="A93" s="23"/>
      <c r="B93" s="89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22"/>
      <c r="AG93" s="23"/>
      <c r="AH93" s="22"/>
      <c r="AI93" s="22"/>
      <c r="AJ93" s="22"/>
    </row>
    <row r="94" spans="1:36" s="598" customFormat="1" ht="15.75">
      <c r="A94" s="23"/>
      <c r="B94" s="89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22"/>
      <c r="AG94" s="23"/>
      <c r="AH94" s="22"/>
      <c r="AI94" s="22"/>
      <c r="AJ94" s="22"/>
    </row>
    <row r="95" spans="1:36" s="598" customFormat="1" ht="15.75">
      <c r="A95" s="23"/>
      <c r="B95" s="894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22"/>
      <c r="AG95" s="23"/>
      <c r="AH95" s="22"/>
      <c r="AI95" s="22"/>
      <c r="AJ95" s="22"/>
    </row>
    <row r="96" spans="1:36" s="598" customFormat="1" ht="15.75">
      <c r="A96" s="23"/>
      <c r="B96" s="894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22"/>
      <c r="AG96" s="23"/>
      <c r="AH96" s="22"/>
      <c r="AI96" s="22"/>
      <c r="AJ96" s="22"/>
    </row>
    <row r="97" spans="1:36" s="598" customFormat="1" ht="15.75">
      <c r="A97" s="23"/>
      <c r="B97" s="894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22"/>
      <c r="AG97" s="23"/>
      <c r="AH97" s="22"/>
      <c r="AI97" s="22"/>
      <c r="AJ97" s="22"/>
    </row>
    <row r="98" spans="1:36" s="598" customFormat="1" ht="15.75">
      <c r="A98" s="23"/>
      <c r="B98" s="89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22"/>
      <c r="AG98" s="23"/>
      <c r="AH98" s="22"/>
      <c r="AI98" s="22"/>
      <c r="AJ98" s="22"/>
    </row>
    <row r="99" spans="1:36" s="598" customFormat="1" ht="15.75">
      <c r="A99" s="23"/>
      <c r="B99" s="894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22"/>
      <c r="AG99" s="23"/>
      <c r="AH99" s="22"/>
      <c r="AI99" s="22"/>
      <c r="AJ99" s="22"/>
    </row>
    <row r="100" spans="1:36" s="598" customFormat="1" ht="15.75">
      <c r="A100" s="23"/>
      <c r="B100" s="89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22"/>
      <c r="AG100" s="23"/>
      <c r="AH100" s="22"/>
      <c r="AI100" s="22"/>
      <c r="AJ100" s="22"/>
    </row>
    <row r="101" spans="1:36" s="598" customFormat="1" ht="15.75">
      <c r="A101" s="23"/>
      <c r="B101" s="894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22"/>
      <c r="AG101" s="23"/>
      <c r="AH101" s="22"/>
      <c r="AI101" s="22"/>
      <c r="AJ101" s="22"/>
    </row>
    <row r="102" spans="1:36" s="598" customFormat="1" ht="15.75">
      <c r="A102" s="23"/>
      <c r="B102" s="894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22"/>
      <c r="AG102" s="23"/>
      <c r="AH102" s="22"/>
      <c r="AI102" s="22"/>
      <c r="AJ102" s="22"/>
    </row>
    <row r="103" spans="1:36" s="598" customFormat="1" ht="15.75">
      <c r="A103" s="23"/>
      <c r="B103" s="894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22"/>
      <c r="AG103" s="23"/>
      <c r="AH103" s="22"/>
      <c r="AI103" s="22"/>
      <c r="AJ103" s="22"/>
    </row>
    <row r="104" spans="1:36" s="598" customFormat="1" ht="15.75">
      <c r="A104" s="23"/>
      <c r="B104" s="894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22"/>
      <c r="AG104" s="23"/>
      <c r="AH104" s="22"/>
      <c r="AI104" s="22"/>
      <c r="AJ104" s="22"/>
    </row>
    <row r="105" spans="1:36" s="598" customFormat="1" ht="15.75">
      <c r="A105" s="23"/>
      <c r="B105" s="89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22"/>
      <c r="AG105" s="23"/>
      <c r="AH105" s="22"/>
      <c r="AI105" s="22"/>
      <c r="AJ105" s="22"/>
    </row>
    <row r="106" spans="1:36" s="598" customFormat="1" ht="15.75">
      <c r="A106" s="23"/>
      <c r="B106" s="89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22"/>
      <c r="AG106" s="23"/>
      <c r="AH106" s="22"/>
      <c r="AI106" s="22"/>
      <c r="AJ106" s="22"/>
    </row>
    <row r="107" spans="1:36" s="598" customFormat="1" ht="15.75">
      <c r="A107" s="23"/>
      <c r="B107" s="89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22"/>
      <c r="AG107" s="23"/>
      <c r="AH107" s="22"/>
      <c r="AI107" s="22"/>
      <c r="AJ107" s="22"/>
    </row>
    <row r="108" spans="1:36" s="598" customFormat="1" ht="15.75">
      <c r="A108" s="23"/>
      <c r="B108" s="894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22"/>
      <c r="AG108" s="23"/>
      <c r="AH108" s="22"/>
      <c r="AI108" s="22"/>
      <c r="AJ108" s="22"/>
    </row>
    <row r="109" spans="1:36" s="598" customFormat="1" ht="15.75">
      <c r="A109" s="23"/>
      <c r="B109" s="89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22"/>
      <c r="AG109" s="23"/>
      <c r="AH109" s="22"/>
      <c r="AI109" s="22"/>
      <c r="AJ109" s="22"/>
    </row>
    <row r="110" spans="1:36" s="598" customFormat="1" ht="15.75">
      <c r="A110" s="23"/>
      <c r="B110" s="894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22"/>
      <c r="AG110" s="23"/>
      <c r="AH110" s="22"/>
      <c r="AI110" s="22"/>
      <c r="AJ110" s="22"/>
    </row>
    <row r="111" spans="1:36" s="598" customFormat="1" ht="15.75">
      <c r="A111" s="23"/>
      <c r="B111" s="894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22"/>
      <c r="AG111" s="23"/>
      <c r="AH111" s="22"/>
      <c r="AI111" s="22"/>
      <c r="AJ111" s="22"/>
    </row>
    <row r="112" spans="1:36" s="598" customFormat="1" ht="15.75">
      <c r="A112" s="23"/>
      <c r="B112" s="89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22"/>
      <c r="AG112" s="23"/>
      <c r="AH112" s="22"/>
      <c r="AI112" s="22"/>
      <c r="AJ112" s="22"/>
    </row>
    <row r="113" spans="1:36" s="598" customFormat="1" ht="15.75">
      <c r="A113" s="23"/>
      <c r="B113" s="894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22"/>
      <c r="AG113" s="23"/>
      <c r="AH113" s="22"/>
      <c r="AI113" s="22"/>
      <c r="AJ113" s="22"/>
    </row>
    <row r="114" spans="1:36" s="598" customFormat="1" ht="15.75">
      <c r="A114" s="23"/>
      <c r="B114" s="894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22"/>
      <c r="AG114" s="23"/>
      <c r="AH114" s="22"/>
      <c r="AI114" s="22"/>
      <c r="AJ114" s="22"/>
    </row>
    <row r="115" spans="1:36" s="598" customFormat="1" ht="15.75">
      <c r="A115" s="23"/>
      <c r="B115" s="894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22"/>
      <c r="AG115" s="23"/>
      <c r="AH115" s="22"/>
      <c r="AI115" s="22"/>
      <c r="AJ115" s="22"/>
    </row>
    <row r="116" spans="1:36" s="598" customFormat="1" ht="15.75">
      <c r="A116" s="23"/>
      <c r="B116" s="894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22"/>
      <c r="AG116" s="23"/>
      <c r="AH116" s="22"/>
      <c r="AI116" s="22"/>
      <c r="AJ116" s="22"/>
    </row>
    <row r="117" spans="1:36" s="598" customFormat="1" ht="15.75">
      <c r="A117" s="23"/>
      <c r="B117" s="894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22"/>
      <c r="AG117" s="23"/>
      <c r="AH117" s="22"/>
      <c r="AI117" s="22"/>
      <c r="AJ117" s="22"/>
    </row>
    <row r="118" spans="1:36" s="598" customFormat="1" ht="15.75">
      <c r="A118" s="23"/>
      <c r="B118" s="894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22"/>
      <c r="AG118" s="23"/>
      <c r="AH118" s="22"/>
      <c r="AI118" s="22"/>
      <c r="AJ118" s="22"/>
    </row>
    <row r="119" spans="1:36" s="598" customFormat="1" ht="15.75">
      <c r="A119" s="23"/>
      <c r="B119" s="894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22"/>
      <c r="AG119" s="23"/>
      <c r="AH119" s="22"/>
      <c r="AI119" s="22"/>
      <c r="AJ119" s="22"/>
    </row>
    <row r="120" spans="1:36" s="598" customFormat="1" ht="15.75">
      <c r="A120" s="23"/>
      <c r="B120" s="894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22"/>
      <c r="AG120" s="23"/>
      <c r="AH120" s="22"/>
      <c r="AI120" s="22"/>
      <c r="AJ120" s="22"/>
    </row>
    <row r="121" spans="1:36" s="598" customFormat="1" ht="15.75">
      <c r="A121" s="23"/>
      <c r="B121" s="894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22"/>
      <c r="AG121" s="23"/>
      <c r="AH121" s="22"/>
      <c r="AI121" s="22"/>
      <c r="AJ121" s="22"/>
    </row>
    <row r="122" spans="1:36" s="598" customFormat="1" ht="15.75">
      <c r="A122" s="23"/>
      <c r="B122" s="894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22"/>
      <c r="AG122" s="23"/>
      <c r="AH122" s="22"/>
      <c r="AI122" s="22"/>
      <c r="AJ122" s="22"/>
    </row>
    <row r="123" spans="1:36" s="598" customFormat="1" ht="15.75">
      <c r="A123" s="23"/>
      <c r="B123" s="894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22"/>
      <c r="AG123" s="23"/>
      <c r="AH123" s="22"/>
      <c r="AI123" s="22"/>
      <c r="AJ123" s="22"/>
    </row>
    <row r="124" spans="1:36" s="598" customFormat="1" ht="15.75">
      <c r="A124" s="23"/>
      <c r="B124" s="894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22"/>
      <c r="AG124" s="23"/>
      <c r="AH124" s="22"/>
      <c r="AI124" s="22"/>
      <c r="AJ124" s="22"/>
    </row>
    <row r="125" spans="1:36" s="598" customFormat="1" ht="15.75">
      <c r="A125" s="23"/>
      <c r="B125" s="894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22"/>
      <c r="AG125" s="23"/>
      <c r="AH125" s="22"/>
      <c r="AI125" s="22"/>
      <c r="AJ125" s="22"/>
    </row>
    <row r="126" spans="1:36" s="598" customFormat="1" ht="15.75">
      <c r="A126" s="23"/>
      <c r="B126" s="894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22"/>
      <c r="AG126" s="23"/>
      <c r="AH126" s="22"/>
      <c r="AI126" s="22"/>
      <c r="AJ126" s="22"/>
    </row>
    <row r="127" spans="1:36" s="598" customFormat="1" ht="15.75">
      <c r="A127" s="23"/>
      <c r="B127" s="894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22"/>
      <c r="AG127" s="23"/>
      <c r="AH127" s="22"/>
      <c r="AI127" s="22"/>
      <c r="AJ127" s="22"/>
    </row>
    <row r="128" spans="1:36" s="598" customFormat="1" ht="15.75">
      <c r="A128" s="23"/>
      <c r="B128" s="894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22"/>
      <c r="AG128" s="23"/>
      <c r="AH128" s="22"/>
      <c r="AI128" s="22"/>
      <c r="AJ128" s="22"/>
    </row>
    <row r="129" spans="1:36" s="598" customFormat="1" ht="15.75">
      <c r="A129" s="23"/>
      <c r="B129" s="894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22"/>
      <c r="AG129" s="23"/>
      <c r="AH129" s="22"/>
      <c r="AI129" s="22"/>
      <c r="AJ129" s="22"/>
    </row>
    <row r="130" spans="1:36" s="598" customFormat="1" ht="15.75">
      <c r="A130" s="23"/>
      <c r="B130" s="894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22"/>
      <c r="AG130" s="23"/>
      <c r="AH130" s="22"/>
      <c r="AI130" s="22"/>
      <c r="AJ130" s="22"/>
    </row>
    <row r="131" spans="1:36" s="598" customFormat="1" ht="15.75">
      <c r="A131" s="23"/>
      <c r="B131" s="894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22"/>
      <c r="AG131" s="23"/>
      <c r="AH131" s="22"/>
      <c r="AI131" s="22"/>
      <c r="AJ131" s="22"/>
    </row>
    <row r="132" spans="1:36" s="598" customFormat="1" ht="15.75">
      <c r="A132" s="23"/>
      <c r="B132" s="89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22"/>
      <c r="AG132" s="23"/>
      <c r="AH132" s="22"/>
      <c r="AI132" s="22"/>
      <c r="AJ132" s="22"/>
    </row>
    <row r="133" spans="1:36" s="598" customFormat="1" ht="15.75">
      <c r="A133" s="23"/>
      <c r="B133" s="89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22"/>
      <c r="AG133" s="23"/>
      <c r="AH133" s="22"/>
      <c r="AI133" s="22"/>
      <c r="AJ133" s="22"/>
    </row>
    <row r="134" spans="1:36" s="598" customFormat="1" ht="15.75">
      <c r="A134" s="23"/>
      <c r="B134" s="894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22"/>
      <c r="AG134" s="23"/>
      <c r="AH134" s="22"/>
      <c r="AI134" s="22"/>
      <c r="AJ134" s="22"/>
    </row>
    <row r="135" spans="1:36" s="598" customFormat="1" ht="15.75">
      <c r="A135" s="23"/>
      <c r="B135" s="894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22"/>
      <c r="AG135" s="23"/>
      <c r="AH135" s="22"/>
      <c r="AI135" s="22"/>
      <c r="AJ135" s="22"/>
    </row>
    <row r="136" spans="1:36" s="598" customFormat="1" ht="15.75">
      <c r="A136" s="23"/>
      <c r="B136" s="894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22"/>
      <c r="AG136" s="23"/>
      <c r="AH136" s="22"/>
      <c r="AI136" s="22"/>
      <c r="AJ136" s="22"/>
    </row>
    <row r="137" spans="1:36" s="598" customFormat="1" ht="15.75">
      <c r="A137" s="23"/>
      <c r="B137" s="89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22"/>
      <c r="AG137" s="23"/>
      <c r="AH137" s="22"/>
      <c r="AI137" s="22"/>
      <c r="AJ137" s="22"/>
    </row>
    <row r="138" spans="1:36" s="598" customFormat="1" ht="15.75">
      <c r="A138" s="23"/>
      <c r="B138" s="89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22"/>
      <c r="AG138" s="23"/>
      <c r="AH138" s="22"/>
      <c r="AI138" s="22"/>
      <c r="AJ138" s="22"/>
    </row>
    <row r="139" spans="32:36" ht="15.75">
      <c r="AF139" s="22"/>
      <c r="AG139" s="23"/>
      <c r="AH139" s="22"/>
      <c r="AI139" s="22"/>
      <c r="AJ139" s="22"/>
    </row>
    <row r="140" spans="32:36" ht="15.75">
      <c r="AF140" s="22"/>
      <c r="AG140" s="23"/>
      <c r="AH140" s="22"/>
      <c r="AI140" s="22"/>
      <c r="AJ140" s="22"/>
    </row>
    <row r="141" spans="32:36" ht="15.75">
      <c r="AF141" s="22"/>
      <c r="AG141" s="23"/>
      <c r="AH141" s="22"/>
      <c r="AI141" s="22"/>
      <c r="AJ141" s="22"/>
    </row>
    <row r="142" spans="32:36" ht="15.75">
      <c r="AF142" s="22"/>
      <c r="AG142" s="23"/>
      <c r="AH142" s="22"/>
      <c r="AI142" s="22"/>
      <c r="AJ142" s="22"/>
    </row>
    <row r="143" spans="32:36" ht="15.75">
      <c r="AF143" s="22"/>
      <c r="AG143" s="23"/>
      <c r="AH143" s="22"/>
      <c r="AI143" s="22"/>
      <c r="AJ143" s="22"/>
    </row>
    <row r="144" spans="32:36" ht="15.75">
      <c r="AF144" s="22"/>
      <c r="AG144" s="23"/>
      <c r="AH144" s="22"/>
      <c r="AI144" s="22"/>
      <c r="AJ144" s="22"/>
    </row>
    <row r="145" spans="32:36" ht="15.75">
      <c r="AF145" s="22"/>
      <c r="AG145" s="23"/>
      <c r="AH145" s="22"/>
      <c r="AI145" s="22"/>
      <c r="AJ145" s="22"/>
    </row>
  </sheetData>
  <sheetProtection/>
  <mergeCells count="48">
    <mergeCell ref="B19:B23"/>
    <mergeCell ref="B25:B31"/>
    <mergeCell ref="A32:A33"/>
    <mergeCell ref="B32:B33"/>
    <mergeCell ref="G32:G33"/>
    <mergeCell ref="K6:K17"/>
    <mergeCell ref="W6:W17"/>
    <mergeCell ref="G7:G14"/>
    <mergeCell ref="AD10:AD17"/>
    <mergeCell ref="AE10:AE16"/>
    <mergeCell ref="V12:V13"/>
    <mergeCell ref="AG4:AG5"/>
    <mergeCell ref="X4:Y4"/>
    <mergeCell ref="Z4:AA4"/>
    <mergeCell ref="AB4:AC4"/>
    <mergeCell ref="AD4:AE4"/>
    <mergeCell ref="AH4:AH5"/>
    <mergeCell ref="AI4:AI5"/>
    <mergeCell ref="AJ4:AJ5"/>
    <mergeCell ref="AK4:AK5"/>
    <mergeCell ref="A6:A8"/>
    <mergeCell ref="B6:B18"/>
    <mergeCell ref="H6:H8"/>
    <mergeCell ref="I6:I8"/>
    <mergeCell ref="J6:J8"/>
    <mergeCell ref="V4:W4"/>
    <mergeCell ref="AF4:AF5"/>
    <mergeCell ref="J4:K4"/>
    <mergeCell ref="L4:M4"/>
    <mergeCell ref="N4:O4"/>
    <mergeCell ref="P4:Q4"/>
    <mergeCell ref="R4:S4"/>
    <mergeCell ref="T4:U4"/>
    <mergeCell ref="A4:A5"/>
    <mergeCell ref="B4:B5"/>
    <mergeCell ref="C4:C5"/>
    <mergeCell ref="D4:E4"/>
    <mergeCell ref="F4:G4"/>
    <mergeCell ref="H4:I4"/>
    <mergeCell ref="A1:AK1"/>
    <mergeCell ref="A2:AK2"/>
    <mergeCell ref="D3:G3"/>
    <mergeCell ref="H3:K3"/>
    <mergeCell ref="L3:O3"/>
    <mergeCell ref="P3:S3"/>
    <mergeCell ref="T3:W3"/>
    <mergeCell ref="X3:AA3"/>
    <mergeCell ref="AB3:AE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Z108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8" customHeight="1"/>
  <cols>
    <col min="1" max="1" width="13.140625" style="18" customWidth="1"/>
    <col min="2" max="2" width="34.7109375" style="18" customWidth="1"/>
    <col min="3" max="3" width="22.28125" style="11" customWidth="1"/>
    <col min="4" max="4" width="8.57421875" style="11" customWidth="1"/>
    <col min="5" max="5" width="7.57421875" style="11" customWidth="1"/>
    <col min="6" max="6" width="7.421875" style="11" customWidth="1"/>
    <col min="7" max="15" width="8.00390625" style="11" customWidth="1"/>
    <col min="16" max="16" width="8.140625" style="11" customWidth="1"/>
    <col min="17" max="17" width="7.8515625" style="11" customWidth="1"/>
    <col min="18" max="18" width="8.00390625" style="11" customWidth="1"/>
    <col min="19" max="30" width="6.57421875" style="11" customWidth="1"/>
    <col min="31" max="31" width="8.421875" style="11" customWidth="1"/>
    <col min="32" max="32" width="6.00390625" style="11" customWidth="1"/>
    <col min="33" max="33" width="6.140625" style="11" customWidth="1"/>
    <col min="34" max="34" width="7.28125" style="16" customWidth="1"/>
    <col min="35" max="47" width="10.28125" style="16" customWidth="1"/>
    <col min="48" max="48" width="15.57421875" style="4" customWidth="1"/>
    <col min="49" max="49" width="16.57421875" style="4" customWidth="1"/>
    <col min="50" max="50" width="29.7109375" style="4" customWidth="1"/>
    <col min="51" max="51" width="14.57421875" style="4" customWidth="1"/>
    <col min="52" max="52" width="22.8515625" style="4" customWidth="1"/>
    <col min="53" max="16384" width="9.140625" style="4" customWidth="1"/>
  </cols>
  <sheetData>
    <row r="1" spans="1:52" s="1" customFormat="1" ht="28.5" customHeight="1" thickBot="1">
      <c r="A1" s="1407" t="s">
        <v>82</v>
      </c>
      <c r="B1" s="1408"/>
      <c r="C1" s="1408"/>
      <c r="D1" s="1408"/>
      <c r="E1" s="1408"/>
      <c r="F1" s="1408"/>
      <c r="G1" s="1408"/>
      <c r="H1" s="1408"/>
      <c r="I1" s="1408"/>
      <c r="J1" s="1408"/>
      <c r="K1" s="1408"/>
      <c r="L1" s="1408"/>
      <c r="M1" s="1408"/>
      <c r="N1" s="1408"/>
      <c r="O1" s="1408"/>
      <c r="P1" s="1408"/>
      <c r="Q1" s="1408"/>
      <c r="R1" s="1408"/>
      <c r="S1" s="1408"/>
      <c r="T1" s="1408"/>
      <c r="U1" s="1408"/>
      <c r="V1" s="1408"/>
      <c r="W1" s="1408"/>
      <c r="X1" s="1408"/>
      <c r="Y1" s="1408"/>
      <c r="Z1" s="1408"/>
      <c r="AA1" s="1408"/>
      <c r="AB1" s="1408"/>
      <c r="AC1" s="1408"/>
      <c r="AD1" s="1408"/>
      <c r="AE1" s="1408"/>
      <c r="AF1" s="1408"/>
      <c r="AG1" s="1408"/>
      <c r="AH1" s="1408"/>
      <c r="AI1" s="1408"/>
      <c r="AJ1" s="1408"/>
      <c r="AK1" s="1408"/>
      <c r="AL1" s="1408"/>
      <c r="AM1" s="1408"/>
      <c r="AN1" s="1408"/>
      <c r="AO1" s="1408"/>
      <c r="AP1" s="1408"/>
      <c r="AQ1" s="1408"/>
      <c r="AR1" s="1408"/>
      <c r="AS1" s="1408"/>
      <c r="AT1" s="1408"/>
      <c r="AU1" s="1408"/>
      <c r="AV1" s="1408"/>
      <c r="AW1" s="1408"/>
      <c r="AX1" s="1408"/>
      <c r="AY1" s="1408"/>
      <c r="AZ1" s="1409"/>
    </row>
    <row r="2" spans="1:52" s="1" customFormat="1" ht="22.5" customHeight="1" thickBot="1">
      <c r="A2" s="1410" t="s">
        <v>550</v>
      </c>
      <c r="B2" s="1411"/>
      <c r="C2" s="1411"/>
      <c r="D2" s="1411"/>
      <c r="E2" s="1411"/>
      <c r="F2" s="1411"/>
      <c r="G2" s="1411"/>
      <c r="H2" s="1411"/>
      <c r="I2" s="1411"/>
      <c r="J2" s="1411"/>
      <c r="K2" s="1411"/>
      <c r="L2" s="1411"/>
      <c r="M2" s="1411"/>
      <c r="N2" s="1411"/>
      <c r="O2" s="1411"/>
      <c r="P2" s="1411"/>
      <c r="Q2" s="1411"/>
      <c r="R2" s="1411"/>
      <c r="S2" s="1411"/>
      <c r="T2" s="1411"/>
      <c r="U2" s="1411"/>
      <c r="V2" s="1411"/>
      <c r="W2" s="1411"/>
      <c r="X2" s="1411"/>
      <c r="Y2" s="1411"/>
      <c r="Z2" s="1411"/>
      <c r="AA2" s="1411"/>
      <c r="AB2" s="1411"/>
      <c r="AC2" s="1411"/>
      <c r="AD2" s="1411"/>
      <c r="AE2" s="1411"/>
      <c r="AF2" s="1411"/>
      <c r="AG2" s="1411"/>
      <c r="AH2" s="1411"/>
      <c r="AI2" s="1411"/>
      <c r="AJ2" s="1411"/>
      <c r="AK2" s="1411"/>
      <c r="AL2" s="1411"/>
      <c r="AM2" s="1411"/>
      <c r="AN2" s="1411"/>
      <c r="AO2" s="1411"/>
      <c r="AP2" s="1411"/>
      <c r="AQ2" s="1411"/>
      <c r="AR2" s="1411"/>
      <c r="AS2" s="1411"/>
      <c r="AT2" s="1411"/>
      <c r="AU2" s="1411"/>
      <c r="AV2" s="1411"/>
      <c r="AW2" s="1411"/>
      <c r="AX2" s="1411"/>
      <c r="AY2" s="1411"/>
      <c r="AZ2" s="1412"/>
    </row>
    <row r="3" spans="1:52" s="1" customFormat="1" ht="22.5" customHeight="1" thickBot="1">
      <c r="A3" s="1404"/>
      <c r="B3" s="1399"/>
      <c r="C3" s="1399"/>
      <c r="D3" s="1398" t="s">
        <v>884</v>
      </c>
      <c r="E3" s="1399"/>
      <c r="F3" s="1399"/>
      <c r="G3" s="1400"/>
      <c r="H3" s="1398" t="s">
        <v>907</v>
      </c>
      <c r="I3" s="1399"/>
      <c r="J3" s="1399"/>
      <c r="K3" s="1400"/>
      <c r="L3" s="1398" t="s">
        <v>908</v>
      </c>
      <c r="M3" s="1399"/>
      <c r="N3" s="1399"/>
      <c r="O3" s="1400"/>
      <c r="P3" s="1398" t="s">
        <v>552</v>
      </c>
      <c r="Q3" s="1399"/>
      <c r="R3" s="1399"/>
      <c r="S3" s="1400"/>
      <c r="T3" s="1398" t="s">
        <v>633</v>
      </c>
      <c r="U3" s="1399"/>
      <c r="V3" s="1399"/>
      <c r="W3" s="1400"/>
      <c r="X3" s="1398" t="s">
        <v>916</v>
      </c>
      <c r="Y3" s="1399"/>
      <c r="Z3" s="1399"/>
      <c r="AA3" s="1400"/>
      <c r="AB3" s="1398" t="s">
        <v>676</v>
      </c>
      <c r="AC3" s="1399"/>
      <c r="AD3" s="1399"/>
      <c r="AE3" s="1400"/>
      <c r="AF3" s="1398" t="s">
        <v>1</v>
      </c>
      <c r="AG3" s="1399"/>
      <c r="AH3" s="1399"/>
      <c r="AI3" s="1400"/>
      <c r="AJ3" s="1398" t="s">
        <v>551</v>
      </c>
      <c r="AK3" s="1399"/>
      <c r="AL3" s="1399"/>
      <c r="AM3" s="1400"/>
      <c r="AN3" s="1398" t="s">
        <v>854</v>
      </c>
      <c r="AO3" s="1399"/>
      <c r="AP3" s="1399"/>
      <c r="AQ3" s="1400"/>
      <c r="AR3" s="1398" t="s">
        <v>947</v>
      </c>
      <c r="AS3" s="1399"/>
      <c r="AT3" s="1399"/>
      <c r="AU3" s="1400"/>
      <c r="AV3" s="1140"/>
      <c r="AW3" s="1141"/>
      <c r="AX3" s="1141"/>
      <c r="AY3" s="1141"/>
      <c r="AZ3" s="1294"/>
    </row>
    <row r="4" spans="1:52" s="1" customFormat="1" ht="18" customHeight="1">
      <c r="A4" s="1413" t="s">
        <v>116</v>
      </c>
      <c r="B4" s="1414" t="s">
        <v>2</v>
      </c>
      <c r="C4" s="1414" t="s">
        <v>3</v>
      </c>
      <c r="D4" s="1397" t="s">
        <v>112</v>
      </c>
      <c r="E4" s="1397"/>
      <c r="F4" s="1397" t="s">
        <v>113</v>
      </c>
      <c r="G4" s="1397"/>
      <c r="H4" s="1397" t="s">
        <v>112</v>
      </c>
      <c r="I4" s="1397"/>
      <c r="J4" s="1397" t="s">
        <v>113</v>
      </c>
      <c r="K4" s="1397"/>
      <c r="L4" s="1397" t="s">
        <v>112</v>
      </c>
      <c r="M4" s="1397"/>
      <c r="N4" s="1397" t="s">
        <v>113</v>
      </c>
      <c r="O4" s="1397"/>
      <c r="P4" s="1397" t="s">
        <v>112</v>
      </c>
      <c r="Q4" s="1397"/>
      <c r="R4" s="1397" t="s">
        <v>113</v>
      </c>
      <c r="S4" s="1397"/>
      <c r="T4" s="1397" t="s">
        <v>112</v>
      </c>
      <c r="U4" s="1397"/>
      <c r="V4" s="1397" t="s">
        <v>113</v>
      </c>
      <c r="W4" s="1397"/>
      <c r="X4" s="1397" t="s">
        <v>112</v>
      </c>
      <c r="Y4" s="1397"/>
      <c r="Z4" s="1397" t="s">
        <v>113</v>
      </c>
      <c r="AA4" s="1397"/>
      <c r="AB4" s="1397" t="s">
        <v>112</v>
      </c>
      <c r="AC4" s="1397"/>
      <c r="AD4" s="1397" t="s">
        <v>113</v>
      </c>
      <c r="AE4" s="1397"/>
      <c r="AF4" s="1397" t="s">
        <v>112</v>
      </c>
      <c r="AG4" s="1397"/>
      <c r="AH4" s="1397" t="s">
        <v>113</v>
      </c>
      <c r="AI4" s="1397"/>
      <c r="AJ4" s="1397" t="s">
        <v>112</v>
      </c>
      <c r="AK4" s="1397"/>
      <c r="AL4" s="1397" t="s">
        <v>113</v>
      </c>
      <c r="AM4" s="1397"/>
      <c r="AN4" s="1397" t="s">
        <v>112</v>
      </c>
      <c r="AO4" s="1397"/>
      <c r="AP4" s="1397" t="s">
        <v>113</v>
      </c>
      <c r="AQ4" s="1397"/>
      <c r="AR4" s="1397" t="s">
        <v>112</v>
      </c>
      <c r="AS4" s="1397"/>
      <c r="AT4" s="1397" t="s">
        <v>113</v>
      </c>
      <c r="AU4" s="1397"/>
      <c r="AV4" s="1397" t="s">
        <v>4</v>
      </c>
      <c r="AW4" s="1397" t="s">
        <v>122</v>
      </c>
      <c r="AX4" s="1416" t="s">
        <v>5</v>
      </c>
      <c r="AY4" s="1416" t="s">
        <v>83</v>
      </c>
      <c r="AZ4" s="1422" t="s">
        <v>84</v>
      </c>
    </row>
    <row r="5" spans="1:52" s="1" customFormat="1" ht="97.5" customHeight="1" thickBot="1">
      <c r="A5" s="1272"/>
      <c r="B5" s="1415"/>
      <c r="C5" s="1415"/>
      <c r="D5" s="25" t="s">
        <v>6</v>
      </c>
      <c r="E5" s="25" t="s">
        <v>7</v>
      </c>
      <c r="F5" s="25" t="s">
        <v>6</v>
      </c>
      <c r="G5" s="25" t="s">
        <v>96</v>
      </c>
      <c r="H5" s="25" t="s">
        <v>6</v>
      </c>
      <c r="I5" s="25" t="s">
        <v>7</v>
      </c>
      <c r="J5" s="25" t="s">
        <v>6</v>
      </c>
      <c r="K5" s="25" t="s">
        <v>96</v>
      </c>
      <c r="L5" s="25" t="s">
        <v>6</v>
      </c>
      <c r="M5" s="25" t="s">
        <v>7</v>
      </c>
      <c r="N5" s="25" t="s">
        <v>6</v>
      </c>
      <c r="O5" s="25" t="s">
        <v>96</v>
      </c>
      <c r="P5" s="25" t="s">
        <v>6</v>
      </c>
      <c r="Q5" s="25" t="s">
        <v>7</v>
      </c>
      <c r="R5" s="25" t="s">
        <v>6</v>
      </c>
      <c r="S5" s="25" t="s">
        <v>96</v>
      </c>
      <c r="T5" s="25" t="s">
        <v>6</v>
      </c>
      <c r="U5" s="25" t="s">
        <v>7</v>
      </c>
      <c r="V5" s="25" t="s">
        <v>6</v>
      </c>
      <c r="W5" s="25" t="s">
        <v>96</v>
      </c>
      <c r="X5" s="25" t="s">
        <v>6</v>
      </c>
      <c r="Y5" s="25" t="s">
        <v>7</v>
      </c>
      <c r="Z5" s="25" t="s">
        <v>6</v>
      </c>
      <c r="AA5" s="25" t="s">
        <v>96</v>
      </c>
      <c r="AB5" s="25" t="s">
        <v>6</v>
      </c>
      <c r="AC5" s="25" t="s">
        <v>7</v>
      </c>
      <c r="AD5" s="25" t="s">
        <v>6</v>
      </c>
      <c r="AE5" s="25" t="s">
        <v>96</v>
      </c>
      <c r="AF5" s="25" t="s">
        <v>6</v>
      </c>
      <c r="AG5" s="25" t="s">
        <v>7</v>
      </c>
      <c r="AH5" s="25" t="s">
        <v>6</v>
      </c>
      <c r="AI5" s="25" t="s">
        <v>96</v>
      </c>
      <c r="AJ5" s="25" t="s">
        <v>6</v>
      </c>
      <c r="AK5" s="25" t="s">
        <v>7</v>
      </c>
      <c r="AL5" s="25" t="s">
        <v>6</v>
      </c>
      <c r="AM5" s="25" t="s">
        <v>96</v>
      </c>
      <c r="AN5" s="25" t="s">
        <v>6</v>
      </c>
      <c r="AO5" s="25" t="s">
        <v>7</v>
      </c>
      <c r="AP5" s="25" t="s">
        <v>6</v>
      </c>
      <c r="AQ5" s="25" t="s">
        <v>96</v>
      </c>
      <c r="AR5" s="25" t="s">
        <v>6</v>
      </c>
      <c r="AS5" s="25" t="s">
        <v>7</v>
      </c>
      <c r="AT5" s="25" t="s">
        <v>6</v>
      </c>
      <c r="AU5" s="25" t="s">
        <v>96</v>
      </c>
      <c r="AV5" s="1118"/>
      <c r="AW5" s="1118"/>
      <c r="AX5" s="1417"/>
      <c r="AY5" s="1417"/>
      <c r="AZ5" s="1423"/>
    </row>
    <row r="6" spans="1:52" s="8" customFormat="1" ht="15.75">
      <c r="A6" s="1418" t="s">
        <v>220</v>
      </c>
      <c r="B6" s="151" t="s">
        <v>627</v>
      </c>
      <c r="C6" s="145" t="s">
        <v>665</v>
      </c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68"/>
      <c r="Q6" s="68"/>
      <c r="R6" s="68">
        <v>30</v>
      </c>
      <c r="S6" s="68">
        <v>2.89</v>
      </c>
      <c r="T6" s="68"/>
      <c r="U6" s="68"/>
      <c r="V6" s="68"/>
      <c r="W6" s="68"/>
      <c r="X6" s="169"/>
      <c r="Y6" s="169"/>
      <c r="Z6" s="169"/>
      <c r="AA6" s="169"/>
      <c r="AB6" s="1401">
        <v>0</v>
      </c>
      <c r="AC6" s="1401">
        <v>0</v>
      </c>
      <c r="AD6" s="1401">
        <v>1</v>
      </c>
      <c r="AE6" s="1419">
        <v>10</v>
      </c>
      <c r="AF6" s="14"/>
      <c r="AG6" s="14"/>
      <c r="AH6" s="150">
        <v>30</v>
      </c>
      <c r="AI6" s="150">
        <v>2.61</v>
      </c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88" t="s">
        <v>73</v>
      </c>
      <c r="AW6" s="88" t="s">
        <v>862</v>
      </c>
      <c r="AX6" s="88" t="s">
        <v>86</v>
      </c>
      <c r="AY6" s="88" t="s">
        <v>306</v>
      </c>
      <c r="AZ6" s="123" t="s">
        <v>372</v>
      </c>
    </row>
    <row r="7" spans="1:52" s="8" customFormat="1" ht="15">
      <c r="A7" s="1305"/>
      <c r="B7" s="1173" t="s">
        <v>628</v>
      </c>
      <c r="C7" s="145" t="s">
        <v>563</v>
      </c>
      <c r="D7" s="145"/>
      <c r="E7" s="145"/>
      <c r="F7" s="68">
        <v>4</v>
      </c>
      <c r="G7" s="79">
        <v>10.4</v>
      </c>
      <c r="H7" s="79"/>
      <c r="I7" s="79"/>
      <c r="J7" s="79"/>
      <c r="K7" s="79"/>
      <c r="L7" s="79"/>
      <c r="M7" s="79"/>
      <c r="N7" s="79"/>
      <c r="O7" s="79"/>
      <c r="P7" s="68"/>
      <c r="Q7" s="68"/>
      <c r="R7" s="68">
        <v>30</v>
      </c>
      <c r="S7" s="1286">
        <v>4.41</v>
      </c>
      <c r="T7" s="68"/>
      <c r="U7" s="68"/>
      <c r="V7" s="68"/>
      <c r="W7" s="68"/>
      <c r="X7" s="169"/>
      <c r="Y7" s="169"/>
      <c r="Z7" s="169"/>
      <c r="AA7" s="169"/>
      <c r="AB7" s="1402"/>
      <c r="AC7" s="1402"/>
      <c r="AD7" s="1402"/>
      <c r="AE7" s="1420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68" t="s">
        <v>69</v>
      </c>
      <c r="AW7" s="88" t="s">
        <v>862</v>
      </c>
      <c r="AX7" s="68" t="s">
        <v>86</v>
      </c>
      <c r="AY7" s="68" t="s">
        <v>610</v>
      </c>
      <c r="AZ7" s="121" t="s">
        <v>306</v>
      </c>
    </row>
    <row r="8" spans="1:52" s="8" customFormat="1" ht="15">
      <c r="A8" s="1305"/>
      <c r="B8" s="1175"/>
      <c r="C8" s="145" t="s">
        <v>577</v>
      </c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68"/>
      <c r="Q8" s="68"/>
      <c r="R8" s="68">
        <v>30</v>
      </c>
      <c r="S8" s="1286"/>
      <c r="T8" s="68"/>
      <c r="U8" s="68"/>
      <c r="V8" s="68"/>
      <c r="W8" s="68"/>
      <c r="X8" s="169"/>
      <c r="Y8" s="169"/>
      <c r="Z8" s="169"/>
      <c r="AA8" s="169"/>
      <c r="AB8" s="1402"/>
      <c r="AC8" s="1402"/>
      <c r="AD8" s="1402"/>
      <c r="AE8" s="1420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68" t="s">
        <v>69</v>
      </c>
      <c r="AW8" s="88" t="s">
        <v>862</v>
      </c>
      <c r="AX8" s="68" t="s">
        <v>86</v>
      </c>
      <c r="AY8" s="68" t="s">
        <v>610</v>
      </c>
      <c r="AZ8" s="121" t="s">
        <v>306</v>
      </c>
    </row>
    <row r="9" spans="1:52" s="8" customFormat="1" ht="47.25">
      <c r="A9" s="1305"/>
      <c r="B9" s="151" t="s">
        <v>629</v>
      </c>
      <c r="C9" s="363" t="s">
        <v>960</v>
      </c>
      <c r="D9" s="145"/>
      <c r="E9" s="145"/>
      <c r="F9" s="145"/>
      <c r="G9" s="145"/>
      <c r="H9" s="68">
        <v>9</v>
      </c>
      <c r="I9" s="145"/>
      <c r="J9" s="145"/>
      <c r="K9" s="79">
        <v>1.8</v>
      </c>
      <c r="L9" s="145"/>
      <c r="M9" s="145"/>
      <c r="N9" s="145"/>
      <c r="O9" s="145"/>
      <c r="P9" s="68"/>
      <c r="Q9" s="68"/>
      <c r="R9" s="68">
        <v>30</v>
      </c>
      <c r="S9" s="68">
        <v>2.23</v>
      </c>
      <c r="T9" s="68"/>
      <c r="U9" s="68"/>
      <c r="V9" s="68"/>
      <c r="W9" s="68"/>
      <c r="X9" s="169"/>
      <c r="Y9" s="169"/>
      <c r="Z9" s="169"/>
      <c r="AA9" s="169"/>
      <c r="AB9" s="1402"/>
      <c r="AC9" s="1402"/>
      <c r="AD9" s="1402"/>
      <c r="AE9" s="1420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286">
        <v>117</v>
      </c>
      <c r="AS9" s="286">
        <v>0</v>
      </c>
      <c r="AT9" s="286">
        <v>117</v>
      </c>
      <c r="AU9" s="287">
        <v>15</v>
      </c>
      <c r="AV9" s="68" t="s">
        <v>73</v>
      </c>
      <c r="AW9" s="88" t="s">
        <v>862</v>
      </c>
      <c r="AX9" s="68" t="s">
        <v>86</v>
      </c>
      <c r="AY9" s="68" t="s">
        <v>610</v>
      </c>
      <c r="AZ9" s="121" t="s">
        <v>306</v>
      </c>
    </row>
    <row r="10" spans="1:52" s="8" customFormat="1" ht="31.5">
      <c r="A10" s="1305"/>
      <c r="B10" s="151" t="s">
        <v>630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68"/>
      <c r="Q10" s="68"/>
      <c r="R10" s="68">
        <v>30</v>
      </c>
      <c r="S10" s="68">
        <v>2.23</v>
      </c>
      <c r="T10" s="68"/>
      <c r="U10" s="68"/>
      <c r="V10" s="68"/>
      <c r="W10" s="68"/>
      <c r="X10" s="169"/>
      <c r="Y10" s="169"/>
      <c r="Z10" s="169"/>
      <c r="AA10" s="169"/>
      <c r="AB10" s="1402"/>
      <c r="AC10" s="1402"/>
      <c r="AD10" s="1402"/>
      <c r="AE10" s="1420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68" t="s">
        <v>73</v>
      </c>
      <c r="AW10" s="88" t="s">
        <v>862</v>
      </c>
      <c r="AX10" s="68" t="s">
        <v>86</v>
      </c>
      <c r="AY10" s="68" t="s">
        <v>610</v>
      </c>
      <c r="AZ10" s="121" t="s">
        <v>306</v>
      </c>
    </row>
    <row r="11" spans="1:52" s="8" customFormat="1" ht="47.25">
      <c r="A11" s="1305"/>
      <c r="B11" s="151" t="s">
        <v>631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68"/>
      <c r="Q11" s="68"/>
      <c r="R11" s="68">
        <v>30</v>
      </c>
      <c r="S11" s="68">
        <v>2.23</v>
      </c>
      <c r="T11" s="68"/>
      <c r="U11" s="68"/>
      <c r="V11" s="68"/>
      <c r="W11" s="68"/>
      <c r="X11" s="169"/>
      <c r="Y11" s="169"/>
      <c r="Z11" s="169"/>
      <c r="AA11" s="169"/>
      <c r="AB11" s="1402"/>
      <c r="AC11" s="1402"/>
      <c r="AD11" s="1402"/>
      <c r="AE11" s="1420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68" t="s">
        <v>73</v>
      </c>
      <c r="AW11" s="88" t="s">
        <v>862</v>
      </c>
      <c r="AX11" s="68" t="s">
        <v>86</v>
      </c>
      <c r="AY11" s="68" t="s">
        <v>610</v>
      </c>
      <c r="AZ11" s="121" t="s">
        <v>306</v>
      </c>
    </row>
    <row r="12" spans="1:52" s="8" customFormat="1" ht="31.5">
      <c r="A12" s="1306"/>
      <c r="B12" s="151" t="s">
        <v>632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68"/>
      <c r="Q12" s="68"/>
      <c r="R12" s="68">
        <v>30</v>
      </c>
      <c r="S12" s="68">
        <v>2.23</v>
      </c>
      <c r="T12" s="68"/>
      <c r="U12" s="68"/>
      <c r="V12" s="68"/>
      <c r="W12" s="68"/>
      <c r="X12" s="141"/>
      <c r="Y12" s="141"/>
      <c r="Z12" s="141"/>
      <c r="AA12" s="141"/>
      <c r="AB12" s="1403"/>
      <c r="AC12" s="1403"/>
      <c r="AD12" s="1403"/>
      <c r="AE12" s="1421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68" t="s">
        <v>73</v>
      </c>
      <c r="AW12" s="88" t="s">
        <v>862</v>
      </c>
      <c r="AX12" s="68" t="s">
        <v>86</v>
      </c>
      <c r="AY12" s="68" t="s">
        <v>610</v>
      </c>
      <c r="AZ12" s="121" t="s">
        <v>306</v>
      </c>
    </row>
    <row r="13" spans="1:52" s="8" customFormat="1" ht="31.5">
      <c r="A13" s="179" t="s">
        <v>668</v>
      </c>
      <c r="B13" s="92" t="s">
        <v>667</v>
      </c>
      <c r="C13" s="2" t="s">
        <v>926</v>
      </c>
      <c r="D13" s="2"/>
      <c r="E13" s="2"/>
      <c r="F13" s="91">
        <v>1</v>
      </c>
      <c r="G13" s="91">
        <v>11.24</v>
      </c>
      <c r="H13" s="91"/>
      <c r="I13" s="91"/>
      <c r="J13" s="91"/>
      <c r="K13" s="91"/>
      <c r="L13" s="91"/>
      <c r="M13" s="91"/>
      <c r="N13" s="91"/>
      <c r="O13" s="91"/>
      <c r="P13" s="68"/>
      <c r="Q13" s="68"/>
      <c r="R13" s="68"/>
      <c r="S13" s="68"/>
      <c r="T13" s="2">
        <v>180</v>
      </c>
      <c r="U13" s="2">
        <v>0</v>
      </c>
      <c r="V13" s="68">
        <v>180</v>
      </c>
      <c r="W13" s="145">
        <v>4.53</v>
      </c>
      <c r="X13" s="195">
        <v>24</v>
      </c>
      <c r="Y13" s="195">
        <v>17</v>
      </c>
      <c r="Z13" s="195">
        <v>105</v>
      </c>
      <c r="AA13" s="195">
        <v>2.16</v>
      </c>
      <c r="AB13" s="203">
        <v>0</v>
      </c>
      <c r="AC13" s="203">
        <v>0</v>
      </c>
      <c r="AD13" s="203">
        <v>51</v>
      </c>
      <c r="AE13" s="227">
        <v>4.5</v>
      </c>
      <c r="AF13" s="14"/>
      <c r="AG13" s="14"/>
      <c r="AH13" s="14"/>
      <c r="AI13" s="14"/>
      <c r="AJ13" s="2" t="s">
        <v>810</v>
      </c>
      <c r="AK13" s="2">
        <v>91</v>
      </c>
      <c r="AL13" s="2">
        <v>300</v>
      </c>
      <c r="AM13" s="91">
        <v>145</v>
      </c>
      <c r="AN13" s="232" t="s">
        <v>610</v>
      </c>
      <c r="AO13" s="232" t="s">
        <v>610</v>
      </c>
      <c r="AP13" s="232" t="s">
        <v>610</v>
      </c>
      <c r="AQ13" s="149">
        <v>41.44</v>
      </c>
      <c r="AR13" s="149"/>
      <c r="AS13" s="149"/>
      <c r="AT13" s="149"/>
      <c r="AU13" s="149"/>
      <c r="AV13" s="14"/>
      <c r="AW13" s="88" t="s">
        <v>862</v>
      </c>
      <c r="AX13" s="2" t="s">
        <v>984</v>
      </c>
      <c r="AY13" s="2" t="s">
        <v>306</v>
      </c>
      <c r="AZ13" s="116" t="s">
        <v>669</v>
      </c>
    </row>
    <row r="14" spans="1:52" s="8" customFormat="1" ht="30">
      <c r="A14" s="182" t="s">
        <v>373</v>
      </c>
      <c r="B14" s="151" t="s">
        <v>85</v>
      </c>
      <c r="C14" s="145" t="s">
        <v>221</v>
      </c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>
        <v>90</v>
      </c>
      <c r="AI14" s="145">
        <v>38.43</v>
      </c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 t="s">
        <v>376</v>
      </c>
      <c r="AW14" s="88" t="s">
        <v>862</v>
      </c>
      <c r="AX14" s="88" t="s">
        <v>86</v>
      </c>
      <c r="AY14" s="88" t="s">
        <v>306</v>
      </c>
      <c r="AZ14" s="123" t="s">
        <v>377</v>
      </c>
    </row>
    <row r="15" spans="1:52" s="8" customFormat="1" ht="45">
      <c r="A15" s="182" t="s">
        <v>374</v>
      </c>
      <c r="B15" s="151" t="s">
        <v>378</v>
      </c>
      <c r="C15" s="145" t="s">
        <v>379</v>
      </c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>
        <v>150</v>
      </c>
      <c r="AI15" s="30">
        <v>12</v>
      </c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88" t="s">
        <v>71</v>
      </c>
      <c r="AW15" s="88" t="s">
        <v>862</v>
      </c>
      <c r="AX15" s="88" t="s">
        <v>86</v>
      </c>
      <c r="AY15" s="14" t="s">
        <v>306</v>
      </c>
      <c r="AZ15" s="123" t="s">
        <v>380</v>
      </c>
    </row>
    <row r="16" spans="1:52" s="8" customFormat="1" ht="30">
      <c r="A16" s="182" t="s">
        <v>375</v>
      </c>
      <c r="B16" s="151" t="s">
        <v>381</v>
      </c>
      <c r="C16" s="145" t="s">
        <v>350</v>
      </c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>
        <v>25</v>
      </c>
      <c r="AI16" s="145">
        <v>2.42</v>
      </c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 t="s">
        <v>382</v>
      </c>
      <c r="AW16" s="88" t="s">
        <v>862</v>
      </c>
      <c r="AX16" s="88" t="s">
        <v>383</v>
      </c>
      <c r="AY16" s="14" t="s">
        <v>306</v>
      </c>
      <c r="AZ16" s="123" t="s">
        <v>318</v>
      </c>
    </row>
    <row r="17" spans="1:52" s="8" customFormat="1" ht="31.5">
      <c r="A17" s="182" t="s">
        <v>671</v>
      </c>
      <c r="B17" s="92" t="s">
        <v>959</v>
      </c>
      <c r="C17" s="2" t="s">
        <v>666</v>
      </c>
      <c r="D17" s="2"/>
      <c r="E17" s="2"/>
      <c r="F17" s="91">
        <v>1</v>
      </c>
      <c r="G17" s="91">
        <v>36.75</v>
      </c>
      <c r="H17" s="91"/>
      <c r="I17" s="91"/>
      <c r="J17" s="91"/>
      <c r="K17" s="91"/>
      <c r="L17" s="91"/>
      <c r="M17" s="91"/>
      <c r="N17" s="91"/>
      <c r="O17" s="91"/>
      <c r="P17" s="145"/>
      <c r="Q17" s="145"/>
      <c r="R17" s="145"/>
      <c r="S17" s="145"/>
      <c r="T17" s="2">
        <v>160</v>
      </c>
      <c r="U17" s="2">
        <v>0</v>
      </c>
      <c r="V17" s="68">
        <v>180</v>
      </c>
      <c r="W17" s="145">
        <v>7.85</v>
      </c>
      <c r="X17" s="195">
        <v>48</v>
      </c>
      <c r="Y17" s="112">
        <v>24</v>
      </c>
      <c r="Z17" s="145"/>
      <c r="AA17" s="145"/>
      <c r="AB17" s="203"/>
      <c r="AC17" s="203"/>
      <c r="AD17" s="203"/>
      <c r="AE17" s="227"/>
      <c r="AF17" s="145"/>
      <c r="AG17" s="145"/>
      <c r="AH17" s="145"/>
      <c r="AI17" s="145"/>
      <c r="AJ17" s="145"/>
      <c r="AK17" s="145"/>
      <c r="AL17" s="145"/>
      <c r="AM17" s="145"/>
      <c r="AN17" s="232" t="s">
        <v>610</v>
      </c>
      <c r="AO17" s="232" t="s">
        <v>610</v>
      </c>
      <c r="AP17" s="232" t="s">
        <v>610</v>
      </c>
      <c r="AQ17" s="33">
        <v>109.32</v>
      </c>
      <c r="AR17" s="286">
        <v>225</v>
      </c>
      <c r="AS17" s="286">
        <v>0</v>
      </c>
      <c r="AT17" s="286">
        <v>225</v>
      </c>
      <c r="AU17" s="287">
        <v>5</v>
      </c>
      <c r="AV17" s="145"/>
      <c r="AW17" s="88" t="s">
        <v>862</v>
      </c>
      <c r="AX17" s="2" t="s">
        <v>984</v>
      </c>
      <c r="AY17" s="2" t="s">
        <v>306</v>
      </c>
      <c r="AZ17" s="116" t="s">
        <v>669</v>
      </c>
    </row>
    <row r="18" spans="1:52" s="8" customFormat="1" ht="31.5">
      <c r="A18" s="182"/>
      <c r="B18" s="92" t="s">
        <v>670</v>
      </c>
      <c r="C18" s="2" t="s">
        <v>749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45"/>
      <c r="Q18" s="145"/>
      <c r="R18" s="145"/>
      <c r="S18" s="145"/>
      <c r="T18" s="2"/>
      <c r="U18" s="2"/>
      <c r="V18" s="68">
        <v>40</v>
      </c>
      <c r="W18" s="145">
        <v>12.5</v>
      </c>
      <c r="X18" s="145"/>
      <c r="Y18" s="145"/>
      <c r="Z18" s="145"/>
      <c r="AA18" s="145"/>
      <c r="AB18" s="203">
        <v>0</v>
      </c>
      <c r="AC18" s="203">
        <v>0</v>
      </c>
      <c r="AD18" s="203">
        <v>51</v>
      </c>
      <c r="AE18" s="227">
        <v>10</v>
      </c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88" t="s">
        <v>862</v>
      </c>
      <c r="AX18" s="2" t="s">
        <v>672</v>
      </c>
      <c r="AY18" s="2" t="s">
        <v>306</v>
      </c>
      <c r="AZ18" s="116" t="s">
        <v>669</v>
      </c>
    </row>
    <row r="19" spans="1:52" s="8" customFormat="1" ht="47.25">
      <c r="A19" s="182" t="s">
        <v>384</v>
      </c>
      <c r="B19" s="151" t="s">
        <v>456</v>
      </c>
      <c r="C19" s="145" t="s">
        <v>387</v>
      </c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>
        <v>150</v>
      </c>
      <c r="AI19" s="145">
        <v>2.46</v>
      </c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 t="s">
        <v>23</v>
      </c>
      <c r="AW19" s="88" t="s">
        <v>862</v>
      </c>
      <c r="AX19" s="145" t="s">
        <v>311</v>
      </c>
      <c r="AY19" s="14" t="s">
        <v>306</v>
      </c>
      <c r="AZ19" s="123" t="s">
        <v>360</v>
      </c>
    </row>
    <row r="20" spans="1:52" s="8" customFormat="1" ht="47.25">
      <c r="A20" s="182" t="s">
        <v>385</v>
      </c>
      <c r="B20" s="151" t="s">
        <v>388</v>
      </c>
      <c r="C20" s="145" t="s">
        <v>389</v>
      </c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>
        <v>1200</v>
      </c>
      <c r="AI20" s="145">
        <v>23.94</v>
      </c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 t="s">
        <v>12</v>
      </c>
      <c r="AW20" s="88" t="s">
        <v>862</v>
      </c>
      <c r="AX20" s="145" t="s">
        <v>311</v>
      </c>
      <c r="AY20" s="14" t="s">
        <v>306</v>
      </c>
      <c r="AZ20" s="123" t="s">
        <v>329</v>
      </c>
    </row>
    <row r="21" spans="1:52" s="8" customFormat="1" ht="47.25">
      <c r="A21" s="182" t="s">
        <v>386</v>
      </c>
      <c r="B21" s="151" t="s">
        <v>388</v>
      </c>
      <c r="C21" s="145" t="s">
        <v>390</v>
      </c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>
        <v>4500</v>
      </c>
      <c r="AI21" s="145">
        <v>103.13</v>
      </c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 t="s">
        <v>87</v>
      </c>
      <c r="AW21" s="88" t="s">
        <v>862</v>
      </c>
      <c r="AX21" s="145" t="s">
        <v>16</v>
      </c>
      <c r="AY21" s="14"/>
      <c r="AZ21" s="123" t="s">
        <v>326</v>
      </c>
    </row>
    <row r="22" spans="1:52" s="8" customFormat="1" ht="15.75">
      <c r="A22" s="182" t="s">
        <v>222</v>
      </c>
      <c r="B22" s="151" t="s">
        <v>223</v>
      </c>
      <c r="C22" s="145"/>
      <c r="D22" s="145"/>
      <c r="E22" s="145"/>
      <c r="F22" s="68">
        <v>14</v>
      </c>
      <c r="G22" s="68">
        <v>36.75</v>
      </c>
      <c r="H22" s="68"/>
      <c r="I22" s="68"/>
      <c r="J22" s="68"/>
      <c r="K22" s="68"/>
      <c r="L22" s="68"/>
      <c r="M22" s="68"/>
      <c r="N22" s="68"/>
      <c r="O22" s="68"/>
      <c r="P22" s="145"/>
      <c r="Q22" s="145"/>
      <c r="R22" s="145"/>
      <c r="S22" s="145"/>
      <c r="T22" s="145"/>
      <c r="U22" s="145"/>
      <c r="V22" s="145"/>
      <c r="W22" s="145"/>
      <c r="X22" s="195">
        <v>96</v>
      </c>
      <c r="Y22" s="195">
        <v>70</v>
      </c>
      <c r="Z22" s="145"/>
      <c r="AA22" s="145"/>
      <c r="AB22" s="195">
        <v>0</v>
      </c>
      <c r="AC22" s="195">
        <v>0</v>
      </c>
      <c r="AD22" s="195">
        <f>25*6</f>
        <v>150</v>
      </c>
      <c r="AE22" s="291">
        <v>13.5</v>
      </c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 t="s">
        <v>81</v>
      </c>
      <c r="AW22" s="145"/>
      <c r="AX22" s="145" t="s">
        <v>64</v>
      </c>
      <c r="AY22" s="195" t="s">
        <v>306</v>
      </c>
      <c r="AZ22" s="265" t="s">
        <v>306</v>
      </c>
    </row>
    <row r="23" spans="1:52" s="8" customFormat="1" ht="31.5">
      <c r="A23" s="182" t="s">
        <v>391</v>
      </c>
      <c r="B23" s="151" t="s">
        <v>392</v>
      </c>
      <c r="C23" s="145" t="s">
        <v>393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>
        <v>120</v>
      </c>
      <c r="AI23" s="145">
        <v>4.46</v>
      </c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 t="s">
        <v>12</v>
      </c>
      <c r="AW23" s="88" t="s">
        <v>862</v>
      </c>
      <c r="AX23" s="145" t="s">
        <v>351</v>
      </c>
      <c r="AY23" s="14" t="s">
        <v>306</v>
      </c>
      <c r="AZ23" s="123" t="s">
        <v>360</v>
      </c>
    </row>
    <row r="24" spans="1:52" s="8" customFormat="1" ht="31.5">
      <c r="A24" s="182" t="s">
        <v>394</v>
      </c>
      <c r="B24" s="151" t="s">
        <v>395</v>
      </c>
      <c r="C24" s="145" t="s">
        <v>396</v>
      </c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>
        <v>120</v>
      </c>
      <c r="AI24" s="145">
        <v>3.01</v>
      </c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 t="s">
        <v>23</v>
      </c>
      <c r="AW24" s="88" t="s">
        <v>862</v>
      </c>
      <c r="AX24" s="145" t="s">
        <v>351</v>
      </c>
      <c r="AY24" s="14" t="s">
        <v>306</v>
      </c>
      <c r="AZ24" s="123" t="s">
        <v>360</v>
      </c>
    </row>
    <row r="25" spans="1:52" s="8" customFormat="1" ht="47.25">
      <c r="A25" s="182" t="s">
        <v>397</v>
      </c>
      <c r="B25" s="151" t="s">
        <v>404</v>
      </c>
      <c r="C25" s="145" t="s">
        <v>398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>
        <v>385</v>
      </c>
      <c r="AI25" s="145">
        <v>4.8</v>
      </c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 t="s">
        <v>23</v>
      </c>
      <c r="AW25" s="88" t="s">
        <v>865</v>
      </c>
      <c r="AX25" s="145" t="s">
        <v>399</v>
      </c>
      <c r="AY25" s="14" t="s">
        <v>306</v>
      </c>
      <c r="AZ25" s="123" t="s">
        <v>326</v>
      </c>
    </row>
    <row r="26" spans="1:52" s="8" customFormat="1" ht="63">
      <c r="A26" s="182" t="s">
        <v>400</v>
      </c>
      <c r="B26" s="151" t="s">
        <v>403</v>
      </c>
      <c r="C26" s="145" t="s">
        <v>401</v>
      </c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>
        <v>18</v>
      </c>
      <c r="AI26" s="30">
        <v>2.1</v>
      </c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145" t="s">
        <v>23</v>
      </c>
      <c r="AW26" s="88" t="s">
        <v>865</v>
      </c>
      <c r="AX26" s="145" t="s">
        <v>311</v>
      </c>
      <c r="AY26" s="14" t="s">
        <v>306</v>
      </c>
      <c r="AZ26" s="123" t="s">
        <v>402</v>
      </c>
    </row>
    <row r="27" spans="1:52" s="8" customFormat="1" ht="30">
      <c r="A27" s="182" t="s">
        <v>405</v>
      </c>
      <c r="B27" s="151" t="s">
        <v>406</v>
      </c>
      <c r="C27" s="145" t="s">
        <v>407</v>
      </c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>
        <v>6</v>
      </c>
      <c r="AI27" s="145">
        <v>2.4</v>
      </c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 t="s">
        <v>408</v>
      </c>
      <c r="AW27" s="88" t="s">
        <v>967</v>
      </c>
      <c r="AX27" s="145" t="s">
        <v>88</v>
      </c>
      <c r="AY27" s="14"/>
      <c r="AZ27" s="123" t="s">
        <v>413</v>
      </c>
    </row>
    <row r="28" spans="1:52" s="8" customFormat="1" ht="47.25">
      <c r="A28" s="182" t="s">
        <v>750</v>
      </c>
      <c r="B28" s="171" t="s">
        <v>751</v>
      </c>
      <c r="C28" s="228" t="s">
        <v>752</v>
      </c>
      <c r="D28" s="228"/>
      <c r="E28" s="228"/>
      <c r="F28" s="228"/>
      <c r="G28" s="228"/>
      <c r="H28" s="228"/>
      <c r="I28" s="228"/>
      <c r="J28" s="228"/>
      <c r="K28" s="358">
        <v>25</v>
      </c>
      <c r="L28" s="228"/>
      <c r="M28" s="228"/>
      <c r="N28" s="228"/>
      <c r="O28" s="228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203">
        <v>0</v>
      </c>
      <c r="AC28" s="203">
        <v>0</v>
      </c>
      <c r="AD28" s="203">
        <v>51</v>
      </c>
      <c r="AE28" s="227">
        <v>10</v>
      </c>
      <c r="AF28" s="145"/>
      <c r="AG28" s="145"/>
      <c r="AH28" s="145"/>
      <c r="AI28" s="145"/>
      <c r="AJ28" s="145"/>
      <c r="AK28" s="145"/>
      <c r="AL28" s="145"/>
      <c r="AM28" s="145"/>
      <c r="AN28" s="232" t="s">
        <v>610</v>
      </c>
      <c r="AO28" s="232" t="s">
        <v>610</v>
      </c>
      <c r="AP28" s="33">
        <v>38</v>
      </c>
      <c r="AQ28" s="33">
        <v>64.85</v>
      </c>
      <c r="AR28" s="33"/>
      <c r="AS28" s="33"/>
      <c r="AT28" s="33"/>
      <c r="AU28" s="33"/>
      <c r="AV28" s="55" t="s">
        <v>753</v>
      </c>
      <c r="AW28" s="88"/>
      <c r="AX28" s="145" t="s">
        <v>64</v>
      </c>
      <c r="AY28" s="203" t="s">
        <v>306</v>
      </c>
      <c r="AZ28" s="236" t="s">
        <v>306</v>
      </c>
    </row>
    <row r="29" spans="1:52" s="8" customFormat="1" ht="47.25">
      <c r="A29" s="182" t="s">
        <v>754</v>
      </c>
      <c r="B29" s="171" t="s">
        <v>755</v>
      </c>
      <c r="C29" s="228" t="s">
        <v>756</v>
      </c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203">
        <v>1</v>
      </c>
      <c r="AC29" s="203">
        <v>0</v>
      </c>
      <c r="AD29" s="203">
        <v>0</v>
      </c>
      <c r="AE29" s="227">
        <v>0</v>
      </c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55"/>
      <c r="AW29" s="88"/>
      <c r="AX29" s="55"/>
      <c r="AY29" s="203"/>
      <c r="AZ29" s="236"/>
    </row>
    <row r="30" spans="1:52" s="8" customFormat="1" ht="31.5">
      <c r="A30" s="182" t="s">
        <v>605</v>
      </c>
      <c r="B30" s="155" t="s">
        <v>614</v>
      </c>
      <c r="C30" s="33" t="s">
        <v>606</v>
      </c>
      <c r="D30" s="33"/>
      <c r="E30" s="33"/>
      <c r="F30" s="68">
        <v>2</v>
      </c>
      <c r="G30" s="68">
        <v>20.52</v>
      </c>
      <c r="H30" s="68">
        <v>28</v>
      </c>
      <c r="I30" s="145"/>
      <c r="J30" s="145"/>
      <c r="K30" s="79">
        <v>10</v>
      </c>
      <c r="L30" s="68">
        <v>12</v>
      </c>
      <c r="M30" s="68" t="s">
        <v>575</v>
      </c>
      <c r="N30" s="68">
        <v>1</v>
      </c>
      <c r="O30" s="68">
        <v>10</v>
      </c>
      <c r="P30" s="68" t="s">
        <v>575</v>
      </c>
      <c r="Q30" s="68">
        <v>5</v>
      </c>
      <c r="R30" s="68">
        <v>150</v>
      </c>
      <c r="S30" s="68">
        <v>20</v>
      </c>
      <c r="T30" s="68"/>
      <c r="U30" s="68"/>
      <c r="V30" s="68"/>
      <c r="W30" s="68"/>
      <c r="X30" s="68"/>
      <c r="Y30" s="68"/>
      <c r="Z30" s="68"/>
      <c r="AA30" s="68"/>
      <c r="AB30" s="195">
        <v>1</v>
      </c>
      <c r="AC30" s="195">
        <v>1</v>
      </c>
      <c r="AD30" s="195">
        <v>50</v>
      </c>
      <c r="AE30" s="291">
        <v>4.5</v>
      </c>
      <c r="AF30" s="14">
        <v>4</v>
      </c>
      <c r="AG30" s="14">
        <v>28</v>
      </c>
      <c r="AH30" s="14"/>
      <c r="AI30" s="145"/>
      <c r="AJ30" s="145" t="s">
        <v>806</v>
      </c>
      <c r="AK30" s="145">
        <v>0</v>
      </c>
      <c r="AL30" s="145" t="s">
        <v>610</v>
      </c>
      <c r="AM30" s="68">
        <v>2.5</v>
      </c>
      <c r="AN30" s="360" t="s">
        <v>610</v>
      </c>
      <c r="AO30" s="360" t="s">
        <v>610</v>
      </c>
      <c r="AP30" s="359">
        <v>100</v>
      </c>
      <c r="AQ30" s="149">
        <v>8</v>
      </c>
      <c r="AR30" s="149"/>
      <c r="AS30" s="149"/>
      <c r="AT30" s="149"/>
      <c r="AU30" s="149"/>
      <c r="AV30" s="68" t="s">
        <v>69</v>
      </c>
      <c r="AW30" s="68" t="s">
        <v>865</v>
      </c>
      <c r="AX30" s="145" t="s">
        <v>609</v>
      </c>
      <c r="AY30" s="68" t="s">
        <v>610</v>
      </c>
      <c r="AZ30" s="116" t="s">
        <v>611</v>
      </c>
    </row>
    <row r="31" spans="1:52" s="8" customFormat="1" ht="45">
      <c r="A31" s="202" t="s">
        <v>409</v>
      </c>
      <c r="B31" s="89" t="s">
        <v>410</v>
      </c>
      <c r="C31" s="14" t="s">
        <v>411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>
        <v>10</v>
      </c>
      <c r="AI31" s="30">
        <v>4</v>
      </c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14" t="s">
        <v>412</v>
      </c>
      <c r="AW31" s="88" t="s">
        <v>971</v>
      </c>
      <c r="AX31" s="145" t="s">
        <v>88</v>
      </c>
      <c r="AY31" s="14" t="s">
        <v>306</v>
      </c>
      <c r="AZ31" s="123" t="s">
        <v>413</v>
      </c>
    </row>
    <row r="32" spans="1:52" s="8" customFormat="1" ht="30">
      <c r="A32" s="202" t="s">
        <v>414</v>
      </c>
      <c r="B32" s="89" t="s">
        <v>440</v>
      </c>
      <c r="C32" s="14" t="s">
        <v>418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>
        <v>25</v>
      </c>
      <c r="AI32" s="30">
        <v>10</v>
      </c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31" t="s">
        <v>421</v>
      </c>
      <c r="AW32" s="1031" t="s">
        <v>421</v>
      </c>
      <c r="AX32" s="145" t="s">
        <v>88</v>
      </c>
      <c r="AY32" s="14" t="s">
        <v>306</v>
      </c>
      <c r="AZ32" s="123" t="s">
        <v>413</v>
      </c>
    </row>
    <row r="33" spans="1:52" s="8" customFormat="1" ht="30">
      <c r="A33" s="202" t="s">
        <v>415</v>
      </c>
      <c r="B33" s="89" t="s">
        <v>440</v>
      </c>
      <c r="C33" s="14" t="s">
        <v>419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>
        <v>10</v>
      </c>
      <c r="AI33" s="30">
        <v>4</v>
      </c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32"/>
      <c r="AW33" s="1032"/>
      <c r="AX33" s="145" t="s">
        <v>88</v>
      </c>
      <c r="AY33" s="14" t="s">
        <v>306</v>
      </c>
      <c r="AZ33" s="123" t="s">
        <v>413</v>
      </c>
    </row>
    <row r="34" spans="1:52" s="8" customFormat="1" ht="30">
      <c r="A34" s="202" t="s">
        <v>416</v>
      </c>
      <c r="B34" s="89" t="s">
        <v>440</v>
      </c>
      <c r="C34" s="14" t="s">
        <v>420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>
        <v>5</v>
      </c>
      <c r="AI34" s="30">
        <v>2</v>
      </c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33"/>
      <c r="AW34" s="1033"/>
      <c r="AX34" s="145" t="s">
        <v>88</v>
      </c>
      <c r="AY34" s="14" t="s">
        <v>306</v>
      </c>
      <c r="AZ34" s="123" t="s">
        <v>413</v>
      </c>
    </row>
    <row r="35" spans="1:52" s="8" customFormat="1" ht="30">
      <c r="A35" s="202" t="s">
        <v>417</v>
      </c>
      <c r="B35" s="89" t="s">
        <v>422</v>
      </c>
      <c r="C35" s="14" t="s">
        <v>423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>
        <v>25</v>
      </c>
      <c r="AI35" s="145">
        <v>2.42</v>
      </c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" t="s">
        <v>424</v>
      </c>
      <c r="AW35" s="88" t="s">
        <v>862</v>
      </c>
      <c r="AX35" s="14" t="s">
        <v>383</v>
      </c>
      <c r="AY35" s="14"/>
      <c r="AZ35" s="123" t="s">
        <v>413</v>
      </c>
    </row>
    <row r="36" spans="1:52" s="8" customFormat="1" ht="30">
      <c r="A36" s="186" t="s">
        <v>607</v>
      </c>
      <c r="B36" s="89" t="s">
        <v>225</v>
      </c>
      <c r="C36" s="33" t="s">
        <v>608</v>
      </c>
      <c r="D36" s="33"/>
      <c r="E36" s="33"/>
      <c r="F36" s="68">
        <v>5</v>
      </c>
      <c r="G36" s="68">
        <v>22.76</v>
      </c>
      <c r="H36" s="140">
        <v>38</v>
      </c>
      <c r="I36" s="145"/>
      <c r="J36" s="145"/>
      <c r="K36" s="355">
        <v>9.5</v>
      </c>
      <c r="L36" s="68">
        <v>37</v>
      </c>
      <c r="M36" s="68" t="s">
        <v>575</v>
      </c>
      <c r="N36" s="68">
        <v>1</v>
      </c>
      <c r="O36" s="68">
        <v>15</v>
      </c>
      <c r="P36" s="68">
        <v>360</v>
      </c>
      <c r="Q36" s="68">
        <v>12</v>
      </c>
      <c r="R36" s="68">
        <v>360</v>
      </c>
      <c r="S36" s="68">
        <v>10.2</v>
      </c>
      <c r="T36" s="68"/>
      <c r="U36" s="68"/>
      <c r="V36" s="68"/>
      <c r="W36" s="68"/>
      <c r="X36" s="112">
        <v>72</v>
      </c>
      <c r="Y36" s="112"/>
      <c r="Z36" s="195">
        <v>60</v>
      </c>
      <c r="AA36" s="195">
        <v>3.6</v>
      </c>
      <c r="AB36" s="68"/>
      <c r="AC36" s="68"/>
      <c r="AD36" s="68"/>
      <c r="AE36" s="68"/>
      <c r="AF36" s="14"/>
      <c r="AG36" s="14"/>
      <c r="AH36" s="14"/>
      <c r="AI36" s="145"/>
      <c r="AJ36" s="145" t="s">
        <v>807</v>
      </c>
      <c r="AK36" s="145">
        <v>151</v>
      </c>
      <c r="AL36" s="145" t="s">
        <v>806</v>
      </c>
      <c r="AM36" s="68">
        <v>1.8</v>
      </c>
      <c r="AN36" s="360" t="s">
        <v>610</v>
      </c>
      <c r="AO36" s="360" t="s">
        <v>610</v>
      </c>
      <c r="AP36" s="149">
        <v>5</v>
      </c>
      <c r="AQ36" s="149">
        <v>14.6</v>
      </c>
      <c r="AR36" s="149"/>
      <c r="AS36" s="149"/>
      <c r="AT36" s="149"/>
      <c r="AU36" s="149"/>
      <c r="AV36" s="68" t="s">
        <v>35</v>
      </c>
      <c r="AW36" s="88" t="s">
        <v>862</v>
      </c>
      <c r="AX36" s="68" t="s">
        <v>612</v>
      </c>
      <c r="AY36" s="68" t="s">
        <v>610</v>
      </c>
      <c r="AZ36" s="116" t="s">
        <v>613</v>
      </c>
    </row>
    <row r="37" spans="1:52" s="8" customFormat="1" ht="15.75">
      <c r="A37" s="202" t="s">
        <v>425</v>
      </c>
      <c r="B37" s="89" t="s">
        <v>410</v>
      </c>
      <c r="C37" s="14" t="s">
        <v>431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>
        <v>20</v>
      </c>
      <c r="AI37" s="30">
        <v>8</v>
      </c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14" t="s">
        <v>412</v>
      </c>
      <c r="AW37" s="88" t="s">
        <v>49</v>
      </c>
      <c r="AX37" s="145" t="s">
        <v>88</v>
      </c>
      <c r="AY37" s="14" t="s">
        <v>306</v>
      </c>
      <c r="AZ37" s="123" t="s">
        <v>372</v>
      </c>
    </row>
    <row r="38" spans="1:52" s="8" customFormat="1" ht="30">
      <c r="A38" s="202" t="s">
        <v>426</v>
      </c>
      <c r="B38" s="89" t="s">
        <v>440</v>
      </c>
      <c r="C38" s="14" t="s">
        <v>418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>
        <v>20</v>
      </c>
      <c r="AI38" s="30">
        <v>8</v>
      </c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31" t="s">
        <v>421</v>
      </c>
      <c r="AW38" s="1031" t="s">
        <v>421</v>
      </c>
      <c r="AX38" s="145" t="s">
        <v>88</v>
      </c>
      <c r="AY38" s="14" t="s">
        <v>306</v>
      </c>
      <c r="AZ38" s="123" t="s">
        <v>413</v>
      </c>
    </row>
    <row r="39" spans="1:52" s="8" customFormat="1" ht="30">
      <c r="A39" s="202" t="s">
        <v>427</v>
      </c>
      <c r="B39" s="89" t="s">
        <v>440</v>
      </c>
      <c r="C39" s="14" t="s">
        <v>419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>
        <v>20</v>
      </c>
      <c r="AI39" s="30">
        <v>8</v>
      </c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32"/>
      <c r="AW39" s="1032"/>
      <c r="AX39" s="145" t="s">
        <v>88</v>
      </c>
      <c r="AY39" s="14" t="s">
        <v>306</v>
      </c>
      <c r="AZ39" s="123" t="s">
        <v>413</v>
      </c>
    </row>
    <row r="40" spans="1:52" s="8" customFormat="1" ht="30">
      <c r="A40" s="202" t="s">
        <v>428</v>
      </c>
      <c r="B40" s="89" t="s">
        <v>440</v>
      </c>
      <c r="C40" s="14" t="s">
        <v>420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>
        <v>20</v>
      </c>
      <c r="AI40" s="30">
        <v>8</v>
      </c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33"/>
      <c r="AW40" s="1033"/>
      <c r="AX40" s="145" t="s">
        <v>88</v>
      </c>
      <c r="AY40" s="14" t="s">
        <v>306</v>
      </c>
      <c r="AZ40" s="123" t="s">
        <v>413</v>
      </c>
    </row>
    <row r="41" spans="1:52" s="8" customFormat="1" ht="30">
      <c r="A41" s="202" t="s">
        <v>429</v>
      </c>
      <c r="B41" s="89" t="s">
        <v>85</v>
      </c>
      <c r="C41" s="14" t="s">
        <v>431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>
        <v>30</v>
      </c>
      <c r="AI41" s="145">
        <v>2.18</v>
      </c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" t="s">
        <v>71</v>
      </c>
      <c r="AW41" s="88" t="s">
        <v>334</v>
      </c>
      <c r="AX41" s="14" t="s">
        <v>86</v>
      </c>
      <c r="AY41" s="14" t="s">
        <v>306</v>
      </c>
      <c r="AZ41" s="123" t="s">
        <v>372</v>
      </c>
    </row>
    <row r="42" spans="1:52" s="8" customFormat="1" ht="60">
      <c r="A42" s="202" t="s">
        <v>430</v>
      </c>
      <c r="B42" s="89" t="s">
        <v>432</v>
      </c>
      <c r="C42" s="14" t="s">
        <v>433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>
        <v>474</v>
      </c>
      <c r="AI42" s="145">
        <v>11.28</v>
      </c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" t="s">
        <v>37</v>
      </c>
      <c r="AW42" s="14" t="s">
        <v>544</v>
      </c>
      <c r="AX42" s="14" t="s">
        <v>311</v>
      </c>
      <c r="AY42" s="14" t="s">
        <v>306</v>
      </c>
      <c r="AZ42" s="123" t="s">
        <v>543</v>
      </c>
    </row>
    <row r="43" spans="1:52" s="8" customFormat="1" ht="105">
      <c r="A43" s="202" t="s">
        <v>219</v>
      </c>
      <c r="B43" s="89" t="s">
        <v>224</v>
      </c>
      <c r="C43" s="14" t="s">
        <v>443</v>
      </c>
      <c r="D43" s="14"/>
      <c r="E43" s="14"/>
      <c r="F43" s="68">
        <v>12</v>
      </c>
      <c r="G43" s="68">
        <v>54.63</v>
      </c>
      <c r="H43" s="68"/>
      <c r="I43" s="68"/>
      <c r="J43" s="68"/>
      <c r="K43" s="68"/>
      <c r="L43" s="112">
        <v>146</v>
      </c>
      <c r="M43" s="112" t="s">
        <v>575</v>
      </c>
      <c r="N43" s="112">
        <v>1</v>
      </c>
      <c r="O43" s="112">
        <v>13.5</v>
      </c>
      <c r="P43" s="14"/>
      <c r="Q43" s="14"/>
      <c r="R43" s="14"/>
      <c r="S43" s="14"/>
      <c r="T43" s="14"/>
      <c r="U43" s="14"/>
      <c r="V43" s="14"/>
      <c r="W43" s="14"/>
      <c r="X43" s="112">
        <v>195</v>
      </c>
      <c r="Y43" s="112">
        <v>182</v>
      </c>
      <c r="Z43" s="14"/>
      <c r="AA43" s="14"/>
      <c r="AB43" s="14"/>
      <c r="AC43" s="14"/>
      <c r="AD43" s="14"/>
      <c r="AE43" s="14"/>
      <c r="AF43" s="14">
        <v>2</v>
      </c>
      <c r="AG43" s="14">
        <v>42</v>
      </c>
      <c r="AH43" s="14"/>
      <c r="AI43" s="30"/>
      <c r="AJ43" s="145" t="s">
        <v>808</v>
      </c>
      <c r="AK43" s="145">
        <v>520</v>
      </c>
      <c r="AL43" s="145" t="s">
        <v>809</v>
      </c>
      <c r="AM43" s="68">
        <v>24.65</v>
      </c>
      <c r="AN43" s="68"/>
      <c r="AO43" s="68"/>
      <c r="AP43" s="68"/>
      <c r="AQ43" s="68"/>
      <c r="AR43" s="68"/>
      <c r="AS43" s="68"/>
      <c r="AT43" s="68"/>
      <c r="AU43" s="68"/>
      <c r="AV43" s="14"/>
      <c r="AW43" s="14"/>
      <c r="AX43" s="14"/>
      <c r="AY43" s="14"/>
      <c r="AZ43" s="123"/>
    </row>
    <row r="44" spans="1:52" s="8" customFormat="1" ht="15.75">
      <c r="A44" s="202" t="s">
        <v>434</v>
      </c>
      <c r="B44" s="89" t="s">
        <v>410</v>
      </c>
      <c r="C44" s="14" t="s">
        <v>442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>
        <v>30</v>
      </c>
      <c r="AI44" s="30">
        <v>12</v>
      </c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14" t="s">
        <v>412</v>
      </c>
      <c r="AW44" s="88">
        <v>30</v>
      </c>
      <c r="AX44" s="145" t="s">
        <v>88</v>
      </c>
      <c r="AY44" s="14" t="s">
        <v>306</v>
      </c>
      <c r="AZ44" s="123" t="s">
        <v>372</v>
      </c>
    </row>
    <row r="45" spans="1:52" s="8" customFormat="1" ht="30">
      <c r="A45" s="202" t="s">
        <v>435</v>
      </c>
      <c r="B45" s="89" t="s">
        <v>440</v>
      </c>
      <c r="C45" s="14" t="s">
        <v>418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>
        <v>20</v>
      </c>
      <c r="AI45" s="30">
        <v>6</v>
      </c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31" t="s">
        <v>421</v>
      </c>
      <c r="AW45" s="1031" t="s">
        <v>421</v>
      </c>
      <c r="AX45" s="145" t="s">
        <v>88</v>
      </c>
      <c r="AY45" s="14" t="s">
        <v>306</v>
      </c>
      <c r="AZ45" s="123" t="s">
        <v>413</v>
      </c>
    </row>
    <row r="46" spans="1:52" s="8" customFormat="1" ht="30">
      <c r="A46" s="202" t="s">
        <v>436</v>
      </c>
      <c r="B46" s="89" t="s">
        <v>440</v>
      </c>
      <c r="C46" s="14" t="s">
        <v>419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>
        <v>20</v>
      </c>
      <c r="AI46" s="30">
        <v>6</v>
      </c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32"/>
      <c r="AW46" s="1032"/>
      <c r="AX46" s="145" t="s">
        <v>88</v>
      </c>
      <c r="AY46" s="14" t="s">
        <v>306</v>
      </c>
      <c r="AZ46" s="123" t="s">
        <v>413</v>
      </c>
    </row>
    <row r="47" spans="1:52" s="8" customFormat="1" ht="30">
      <c r="A47" s="202" t="s">
        <v>437</v>
      </c>
      <c r="B47" s="89" t="s">
        <v>440</v>
      </c>
      <c r="C47" s="14" t="s">
        <v>420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>
        <v>20</v>
      </c>
      <c r="AI47" s="30">
        <v>6</v>
      </c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33"/>
      <c r="AW47" s="1033"/>
      <c r="AX47" s="145" t="s">
        <v>88</v>
      </c>
      <c r="AY47" s="14" t="s">
        <v>306</v>
      </c>
      <c r="AZ47" s="123" t="s">
        <v>413</v>
      </c>
    </row>
    <row r="48" spans="1:52" s="8" customFormat="1" ht="15.75">
      <c r="A48" s="202" t="s">
        <v>438</v>
      </c>
      <c r="B48" s="89" t="s">
        <v>85</v>
      </c>
      <c r="C48" s="14" t="s">
        <v>443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>
        <v>30</v>
      </c>
      <c r="AI48" s="30">
        <v>1.8</v>
      </c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14" t="s">
        <v>9</v>
      </c>
      <c r="AW48" s="88">
        <v>30</v>
      </c>
      <c r="AX48" s="14" t="s">
        <v>86</v>
      </c>
      <c r="AY48" s="14" t="s">
        <v>306</v>
      </c>
      <c r="AZ48" s="123" t="s">
        <v>372</v>
      </c>
    </row>
    <row r="49" spans="1:52" s="8" customFormat="1" ht="30">
      <c r="A49" s="202" t="s">
        <v>439</v>
      </c>
      <c r="B49" s="89" t="s">
        <v>441</v>
      </c>
      <c r="C49" s="14" t="s">
        <v>443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>
        <v>30</v>
      </c>
      <c r="AI49" s="30">
        <v>1.8</v>
      </c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14" t="s">
        <v>9</v>
      </c>
      <c r="AW49" s="88">
        <v>30</v>
      </c>
      <c r="AX49" s="14" t="s">
        <v>86</v>
      </c>
      <c r="AY49" s="14" t="s">
        <v>444</v>
      </c>
      <c r="AZ49" s="123" t="s">
        <v>372</v>
      </c>
    </row>
    <row r="50" spans="1:52" s="1" customFormat="1" ht="37.5" customHeight="1">
      <c r="A50" s="26"/>
      <c r="B50" s="1406" t="s">
        <v>30</v>
      </c>
      <c r="C50" s="1406"/>
      <c r="D50" s="166">
        <f>SUM(D6:D49)</f>
        <v>0</v>
      </c>
      <c r="E50" s="166">
        <f aca="true" t="shared" si="0" ref="E50:AU50">SUM(E6:E49)</f>
        <v>0</v>
      </c>
      <c r="F50" s="166">
        <f t="shared" si="0"/>
        <v>39</v>
      </c>
      <c r="G50" s="166">
        <f t="shared" si="0"/>
        <v>193.04999999999998</v>
      </c>
      <c r="H50" s="166">
        <f t="shared" si="0"/>
        <v>75</v>
      </c>
      <c r="I50" s="166">
        <f t="shared" si="0"/>
        <v>0</v>
      </c>
      <c r="J50" s="166">
        <f t="shared" si="0"/>
        <v>0</v>
      </c>
      <c r="K50" s="166">
        <f t="shared" si="0"/>
        <v>46.3</v>
      </c>
      <c r="L50" s="166">
        <f t="shared" si="0"/>
        <v>195</v>
      </c>
      <c r="M50" s="166">
        <f t="shared" si="0"/>
        <v>0</v>
      </c>
      <c r="N50" s="166">
        <f t="shared" si="0"/>
        <v>3</v>
      </c>
      <c r="O50" s="166">
        <f t="shared" si="0"/>
        <v>38.5</v>
      </c>
      <c r="P50" s="166">
        <f t="shared" si="0"/>
        <v>360</v>
      </c>
      <c r="Q50" s="166">
        <f t="shared" si="0"/>
        <v>17</v>
      </c>
      <c r="R50" s="166">
        <f t="shared" si="0"/>
        <v>720</v>
      </c>
      <c r="S50" s="166">
        <f t="shared" si="0"/>
        <v>46.42</v>
      </c>
      <c r="T50" s="166">
        <f t="shared" si="0"/>
        <v>340</v>
      </c>
      <c r="U50" s="166">
        <f t="shared" si="0"/>
        <v>0</v>
      </c>
      <c r="V50" s="166">
        <f t="shared" si="0"/>
        <v>400</v>
      </c>
      <c r="W50" s="166">
        <f t="shared" si="0"/>
        <v>24.88</v>
      </c>
      <c r="X50" s="166">
        <f t="shared" si="0"/>
        <v>435</v>
      </c>
      <c r="Y50" s="166">
        <f t="shared" si="0"/>
        <v>293</v>
      </c>
      <c r="Z50" s="166">
        <f t="shared" si="0"/>
        <v>165</v>
      </c>
      <c r="AA50" s="166">
        <f t="shared" si="0"/>
        <v>5.76</v>
      </c>
      <c r="AB50" s="166">
        <f t="shared" si="0"/>
        <v>2</v>
      </c>
      <c r="AC50" s="166">
        <f t="shared" si="0"/>
        <v>1</v>
      </c>
      <c r="AD50" s="166">
        <f t="shared" si="0"/>
        <v>354</v>
      </c>
      <c r="AE50" s="166">
        <f t="shared" si="0"/>
        <v>52.5</v>
      </c>
      <c r="AF50" s="166">
        <f t="shared" si="0"/>
        <v>6</v>
      </c>
      <c r="AG50" s="166">
        <f t="shared" si="0"/>
        <v>70</v>
      </c>
      <c r="AH50" s="166">
        <f t="shared" si="0"/>
        <v>7603</v>
      </c>
      <c r="AI50" s="166">
        <f t="shared" si="0"/>
        <v>303.24</v>
      </c>
      <c r="AJ50" s="166">
        <f t="shared" si="0"/>
        <v>0</v>
      </c>
      <c r="AK50" s="166">
        <f t="shared" si="0"/>
        <v>762</v>
      </c>
      <c r="AL50" s="166">
        <f t="shared" si="0"/>
        <v>300</v>
      </c>
      <c r="AM50" s="166">
        <f t="shared" si="0"/>
        <v>173.95000000000002</v>
      </c>
      <c r="AN50" s="166">
        <f t="shared" si="0"/>
        <v>0</v>
      </c>
      <c r="AO50" s="166">
        <f t="shared" si="0"/>
        <v>0</v>
      </c>
      <c r="AP50" s="166">
        <f t="shared" si="0"/>
        <v>143</v>
      </c>
      <c r="AQ50" s="166">
        <f t="shared" si="0"/>
        <v>238.20999999999998</v>
      </c>
      <c r="AR50" s="166">
        <f t="shared" si="0"/>
        <v>342</v>
      </c>
      <c r="AS50" s="166">
        <f t="shared" si="0"/>
        <v>0</v>
      </c>
      <c r="AT50" s="166">
        <f t="shared" si="0"/>
        <v>342</v>
      </c>
      <c r="AU50" s="166">
        <f t="shared" si="0"/>
        <v>20</v>
      </c>
      <c r="AV50" s="15"/>
      <c r="AW50" s="15"/>
      <c r="AX50" s="15"/>
      <c r="AY50" s="15"/>
      <c r="AZ50" s="44"/>
    </row>
    <row r="51" spans="1:52" s="8" customFormat="1" ht="48" customHeight="1">
      <c r="A51" s="202" t="s">
        <v>227</v>
      </c>
      <c r="B51" s="147" t="s">
        <v>89</v>
      </c>
      <c r="C51" s="145"/>
      <c r="D51" s="145"/>
      <c r="E51" s="145"/>
      <c r="F51" s="68">
        <v>13</v>
      </c>
      <c r="G51" s="79">
        <v>5</v>
      </c>
      <c r="H51" s="79"/>
      <c r="I51" s="79"/>
      <c r="J51" s="79"/>
      <c r="K51" s="79"/>
      <c r="L51" s="79"/>
      <c r="M51" s="79"/>
      <c r="N51" s="79"/>
      <c r="O51" s="79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>
        <v>3</v>
      </c>
      <c r="AG51" s="145">
        <v>301</v>
      </c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30"/>
      <c r="AZ51" s="123"/>
    </row>
    <row r="52" spans="1:52" s="8" customFormat="1" ht="33" customHeight="1">
      <c r="A52" s="202" t="s">
        <v>445</v>
      </c>
      <c r="B52" s="147" t="s">
        <v>449</v>
      </c>
      <c r="C52" s="145" t="s">
        <v>450</v>
      </c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>
        <v>60</v>
      </c>
      <c r="AI52" s="145">
        <v>1.45</v>
      </c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 t="s">
        <v>15</v>
      </c>
      <c r="AW52" s="88">
        <v>30</v>
      </c>
      <c r="AX52" s="145" t="s">
        <v>16</v>
      </c>
      <c r="AY52" s="30" t="s">
        <v>306</v>
      </c>
      <c r="AZ52" s="123" t="s">
        <v>451</v>
      </c>
    </row>
    <row r="53" spans="1:52" s="8" customFormat="1" ht="49.5" customHeight="1">
      <c r="A53" s="202" t="s">
        <v>446</v>
      </c>
      <c r="B53" s="147" t="s">
        <v>457</v>
      </c>
      <c r="C53" s="145" t="s">
        <v>452</v>
      </c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>
        <v>450</v>
      </c>
      <c r="AI53" s="30">
        <v>1.5</v>
      </c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145" t="s">
        <v>15</v>
      </c>
      <c r="AW53" s="88" t="s">
        <v>575</v>
      </c>
      <c r="AX53" s="145" t="s">
        <v>453</v>
      </c>
      <c r="AY53" s="14" t="s">
        <v>444</v>
      </c>
      <c r="AZ53" s="123" t="s">
        <v>372</v>
      </c>
    </row>
    <row r="54" spans="1:52" s="8" customFormat="1" ht="52.5" customHeight="1">
      <c r="A54" s="202" t="s">
        <v>447</v>
      </c>
      <c r="B54" s="147" t="s">
        <v>454</v>
      </c>
      <c r="C54" s="145" t="s">
        <v>455</v>
      </c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>
        <v>60</v>
      </c>
      <c r="AI54" s="30">
        <v>4.2</v>
      </c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145" t="s">
        <v>12</v>
      </c>
      <c r="AW54" s="88">
        <v>30</v>
      </c>
      <c r="AX54" s="145" t="s">
        <v>13</v>
      </c>
      <c r="AY54" s="14" t="s">
        <v>444</v>
      </c>
      <c r="AZ54" s="123" t="s">
        <v>372</v>
      </c>
    </row>
    <row r="55" spans="1:52" s="8" customFormat="1" ht="30.75" customHeight="1">
      <c r="A55" s="202" t="s">
        <v>448</v>
      </c>
      <c r="B55" s="147" t="s">
        <v>458</v>
      </c>
      <c r="C55" s="145" t="s">
        <v>459</v>
      </c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>
        <v>1000</v>
      </c>
      <c r="AI55" s="30">
        <v>2.5</v>
      </c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145" t="s">
        <v>15</v>
      </c>
      <c r="AW55" s="88" t="s">
        <v>575</v>
      </c>
      <c r="AX55" s="145" t="s">
        <v>13</v>
      </c>
      <c r="AY55" s="14" t="s">
        <v>444</v>
      </c>
      <c r="AZ55" s="123" t="s">
        <v>372</v>
      </c>
    </row>
    <row r="56" spans="1:52" s="8" customFormat="1" ht="30.75" customHeight="1">
      <c r="A56" s="364" t="s">
        <v>760</v>
      </c>
      <c r="B56" s="324" t="s">
        <v>761</v>
      </c>
      <c r="C56" s="228" t="s">
        <v>762</v>
      </c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204" t="s">
        <v>763</v>
      </c>
      <c r="AC56" s="204" t="s">
        <v>734</v>
      </c>
      <c r="AD56" s="203">
        <v>1</v>
      </c>
      <c r="AE56" s="227">
        <v>480</v>
      </c>
      <c r="AF56" s="145"/>
      <c r="AG56" s="145"/>
      <c r="AH56" s="145"/>
      <c r="AI56" s="30"/>
      <c r="AJ56" s="30"/>
      <c r="AK56" s="30"/>
      <c r="AL56" s="30"/>
      <c r="AM56" s="30"/>
      <c r="AN56" s="232" t="s">
        <v>610</v>
      </c>
      <c r="AO56" s="232" t="s">
        <v>610</v>
      </c>
      <c r="AP56" s="33">
        <v>12</v>
      </c>
      <c r="AQ56" s="40">
        <v>43.2</v>
      </c>
      <c r="AR56" s="286" t="s">
        <v>610</v>
      </c>
      <c r="AS56" s="286" t="s">
        <v>610</v>
      </c>
      <c r="AT56" s="286" t="s">
        <v>610</v>
      </c>
      <c r="AU56" s="287">
        <v>224.7</v>
      </c>
      <c r="AV56" s="145"/>
      <c r="AW56" s="88"/>
      <c r="AX56" s="204" t="s">
        <v>764</v>
      </c>
      <c r="AY56" s="14"/>
      <c r="AZ56" s="123"/>
    </row>
    <row r="57" spans="1:52" s="21" customFormat="1" ht="30.75" customHeight="1">
      <c r="A57" s="186" t="s">
        <v>615</v>
      </c>
      <c r="B57" s="151" t="s">
        <v>616</v>
      </c>
      <c r="C57" s="33" t="s">
        <v>575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91"/>
      <c r="Q57" s="91"/>
      <c r="R57" s="91">
        <v>288</v>
      </c>
      <c r="S57" s="91">
        <v>23.84</v>
      </c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286" t="s">
        <v>610</v>
      </c>
      <c r="AS57" s="286" t="s">
        <v>610</v>
      </c>
      <c r="AT57" s="286">
        <v>30</v>
      </c>
      <c r="AU57" s="287">
        <v>39.74</v>
      </c>
      <c r="AV57" s="68" t="s">
        <v>73</v>
      </c>
      <c r="AW57" s="68" t="s">
        <v>719</v>
      </c>
      <c r="AX57" s="68" t="s">
        <v>86</v>
      </c>
      <c r="AY57" s="68" t="s">
        <v>610</v>
      </c>
      <c r="AZ57" s="116" t="s">
        <v>617</v>
      </c>
    </row>
    <row r="58" spans="1:52" s="8" customFormat="1" ht="22.5" customHeight="1">
      <c r="A58" s="202" t="s">
        <v>228</v>
      </c>
      <c r="B58" s="147" t="s">
        <v>229</v>
      </c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286" t="s">
        <v>610</v>
      </c>
      <c r="AS58" s="286" t="s">
        <v>610</v>
      </c>
      <c r="AT58" s="286" t="s">
        <v>610</v>
      </c>
      <c r="AU58" s="287">
        <v>0.24</v>
      </c>
      <c r="AV58" s="145"/>
      <c r="AW58" s="145"/>
      <c r="AX58" s="145"/>
      <c r="AY58" s="30"/>
      <c r="AZ58" s="123"/>
    </row>
    <row r="59" spans="1:52" s="8" customFormat="1" ht="30" customHeight="1">
      <c r="A59" s="202" t="s">
        <v>460</v>
      </c>
      <c r="B59" s="147" t="s">
        <v>463</v>
      </c>
      <c r="C59" s="145" t="s">
        <v>545</v>
      </c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>
        <v>30</v>
      </c>
      <c r="AI59" s="30">
        <v>1</v>
      </c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145" t="s">
        <v>15</v>
      </c>
      <c r="AW59" s="88">
        <v>30</v>
      </c>
      <c r="AX59" s="145" t="s">
        <v>13</v>
      </c>
      <c r="AY59" s="14" t="s">
        <v>444</v>
      </c>
      <c r="AZ59" s="123" t="s">
        <v>372</v>
      </c>
    </row>
    <row r="60" spans="1:52" s="8" customFormat="1" ht="36.75" customHeight="1">
      <c r="A60" s="202" t="s">
        <v>461</v>
      </c>
      <c r="B60" s="147" t="s">
        <v>464</v>
      </c>
      <c r="C60" s="145" t="s">
        <v>546</v>
      </c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>
        <v>70</v>
      </c>
      <c r="AI60" s="145">
        <v>2.32</v>
      </c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 t="s">
        <v>15</v>
      </c>
      <c r="AW60" s="88" t="s">
        <v>865</v>
      </c>
      <c r="AX60" s="145" t="s">
        <v>13</v>
      </c>
      <c r="AY60" s="14" t="s">
        <v>444</v>
      </c>
      <c r="AZ60" s="123" t="s">
        <v>372</v>
      </c>
    </row>
    <row r="61" spans="1:52" s="8" customFormat="1" ht="30.75" customHeight="1">
      <c r="A61" s="202" t="s">
        <v>462</v>
      </c>
      <c r="B61" s="147" t="s">
        <v>465</v>
      </c>
      <c r="C61" s="145" t="s">
        <v>547</v>
      </c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>
        <v>80</v>
      </c>
      <c r="AI61" s="30">
        <v>1.2</v>
      </c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145" t="s">
        <v>15</v>
      </c>
      <c r="AW61" s="88" t="s">
        <v>865</v>
      </c>
      <c r="AX61" s="145" t="s">
        <v>13</v>
      </c>
      <c r="AY61" s="14" t="s">
        <v>444</v>
      </c>
      <c r="AZ61" s="123" t="s">
        <v>372</v>
      </c>
    </row>
    <row r="62" spans="1:52" s="8" customFormat="1" ht="30.75" customHeight="1">
      <c r="A62" s="364" t="s">
        <v>757</v>
      </c>
      <c r="B62" s="171" t="s">
        <v>758</v>
      </c>
      <c r="C62" s="284" t="s">
        <v>756</v>
      </c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95">
        <v>0</v>
      </c>
      <c r="AC62" s="195">
        <v>0</v>
      </c>
      <c r="AD62" s="195">
        <v>1</v>
      </c>
      <c r="AE62" s="291">
        <v>16</v>
      </c>
      <c r="AF62" s="145"/>
      <c r="AG62" s="145"/>
      <c r="AH62" s="145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145"/>
      <c r="AW62" s="88"/>
      <c r="AX62" s="145"/>
      <c r="AY62" s="14"/>
      <c r="AZ62" s="123"/>
    </row>
    <row r="63" spans="1:52" s="8" customFormat="1" ht="30.75" customHeight="1">
      <c r="A63" s="179" t="s">
        <v>812</v>
      </c>
      <c r="B63" s="365" t="s">
        <v>813</v>
      </c>
      <c r="C63" s="356" t="s">
        <v>814</v>
      </c>
      <c r="D63" s="356"/>
      <c r="E63" s="356"/>
      <c r="F63" s="356"/>
      <c r="G63" s="356"/>
      <c r="H63" s="356"/>
      <c r="I63" s="356"/>
      <c r="J63" s="356"/>
      <c r="K63" s="356"/>
      <c r="L63" s="356"/>
      <c r="M63" s="356"/>
      <c r="N63" s="356"/>
      <c r="O63" s="356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95"/>
      <c r="AC63" s="195"/>
      <c r="AD63" s="195"/>
      <c r="AE63" s="291"/>
      <c r="AF63" s="145"/>
      <c r="AG63" s="145"/>
      <c r="AH63" s="145"/>
      <c r="AI63" s="30"/>
      <c r="AJ63" s="91" t="s">
        <v>610</v>
      </c>
      <c r="AK63" s="91" t="s">
        <v>610</v>
      </c>
      <c r="AL63" s="2" t="s">
        <v>610</v>
      </c>
      <c r="AM63" s="91">
        <v>330.07</v>
      </c>
      <c r="AN63" s="91"/>
      <c r="AO63" s="91"/>
      <c r="AP63" s="91"/>
      <c r="AQ63" s="91"/>
      <c r="AR63" s="91"/>
      <c r="AS63" s="91"/>
      <c r="AT63" s="91"/>
      <c r="AU63" s="91"/>
      <c r="AV63" s="356" t="s">
        <v>815</v>
      </c>
      <c r="AW63" s="88"/>
      <c r="AX63" s="145"/>
      <c r="AY63" s="14"/>
      <c r="AZ63" s="123"/>
    </row>
    <row r="64" spans="1:52" s="8" customFormat="1" ht="30.75" customHeight="1">
      <c r="A64" s="202" t="s">
        <v>230</v>
      </c>
      <c r="B64" s="147" t="s">
        <v>468</v>
      </c>
      <c r="C64" s="145"/>
      <c r="D64" s="145"/>
      <c r="E64" s="145"/>
      <c r="F64" s="68">
        <v>4</v>
      </c>
      <c r="G64" s="79">
        <v>6.18</v>
      </c>
      <c r="H64" s="68"/>
      <c r="I64" s="145"/>
      <c r="J64" s="145"/>
      <c r="K64" s="68">
        <f>12+27.8</f>
        <v>39.8</v>
      </c>
      <c r="L64" s="79"/>
      <c r="M64" s="79"/>
      <c r="N64" s="79"/>
      <c r="O64" s="79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95">
        <v>0</v>
      </c>
      <c r="AC64" s="195">
        <v>0</v>
      </c>
      <c r="AD64" s="112" t="s">
        <v>759</v>
      </c>
      <c r="AE64" s="291">
        <v>73.52</v>
      </c>
      <c r="AF64" s="145"/>
      <c r="AG64" s="145"/>
      <c r="AH64" s="145"/>
      <c r="AI64" s="145"/>
      <c r="AJ64" s="68" t="s">
        <v>811</v>
      </c>
      <c r="AK64" s="145">
        <v>0</v>
      </c>
      <c r="AL64" s="145" t="s">
        <v>610</v>
      </c>
      <c r="AM64" s="68">
        <v>29.24</v>
      </c>
      <c r="AN64" s="68"/>
      <c r="AO64" s="68"/>
      <c r="AP64" s="68"/>
      <c r="AQ64" s="68"/>
      <c r="AR64" s="68"/>
      <c r="AS64" s="68"/>
      <c r="AT64" s="68"/>
      <c r="AU64" s="68"/>
      <c r="AV64" s="145"/>
      <c r="AW64" s="145"/>
      <c r="AX64" s="145"/>
      <c r="AY64" s="30"/>
      <c r="AZ64" s="123"/>
    </row>
    <row r="65" spans="1:52" s="8" customFormat="1" ht="36.75" customHeight="1">
      <c r="A65" s="202" t="s">
        <v>466</v>
      </c>
      <c r="B65" s="147" t="s">
        <v>467</v>
      </c>
      <c r="C65" s="145" t="s">
        <v>33</v>
      </c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>
        <v>15</v>
      </c>
      <c r="AI65" s="145">
        <v>1.89</v>
      </c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 t="s">
        <v>81</v>
      </c>
      <c r="AW65" s="88" t="s">
        <v>861</v>
      </c>
      <c r="AX65" s="145" t="s">
        <v>13</v>
      </c>
      <c r="AY65" s="30" t="s">
        <v>306</v>
      </c>
      <c r="AZ65" s="123" t="s">
        <v>372</v>
      </c>
    </row>
    <row r="66" spans="1:52" s="8" customFormat="1" ht="36.75" customHeight="1">
      <c r="A66" s="366" t="s">
        <v>765</v>
      </c>
      <c r="B66" s="172" t="s">
        <v>766</v>
      </c>
      <c r="C66" s="357" t="s">
        <v>762</v>
      </c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  <c r="O66" s="357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12" t="s">
        <v>763</v>
      </c>
      <c r="AC66" s="112" t="s">
        <v>734</v>
      </c>
      <c r="AD66" s="361">
        <v>1</v>
      </c>
      <c r="AE66" s="362">
        <v>800</v>
      </c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88"/>
      <c r="AX66" s="145"/>
      <c r="AY66" s="30"/>
      <c r="AZ66" s="123"/>
    </row>
    <row r="67" spans="1:52" s="23" customFormat="1" ht="36.75" customHeight="1">
      <c r="A67" s="186" t="s">
        <v>618</v>
      </c>
      <c r="B67" s="151" t="s">
        <v>619</v>
      </c>
      <c r="C67" s="145" t="s">
        <v>620</v>
      </c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68"/>
      <c r="Q67" s="68"/>
      <c r="R67" s="68">
        <v>70</v>
      </c>
      <c r="S67" s="68">
        <v>4.46</v>
      </c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68" t="s">
        <v>9</v>
      </c>
      <c r="AW67" s="354" t="s">
        <v>986</v>
      </c>
      <c r="AX67" s="68" t="s">
        <v>621</v>
      </c>
      <c r="AY67" s="68" t="s">
        <v>306</v>
      </c>
      <c r="AZ67" s="121" t="s">
        <v>306</v>
      </c>
    </row>
    <row r="68" spans="1:52" s="23" customFormat="1" ht="36.75" customHeight="1">
      <c r="A68" s="186" t="s">
        <v>622</v>
      </c>
      <c r="B68" s="151" t="s">
        <v>623</v>
      </c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68"/>
      <c r="Q68" s="68"/>
      <c r="R68" s="68">
        <v>365</v>
      </c>
      <c r="S68" s="68">
        <v>6.8</v>
      </c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68" t="s">
        <v>9</v>
      </c>
      <c r="AW68" s="68" t="s">
        <v>865</v>
      </c>
      <c r="AX68" s="68" t="s">
        <v>612</v>
      </c>
      <c r="AY68" s="68" t="s">
        <v>306</v>
      </c>
      <c r="AZ68" s="121" t="s">
        <v>306</v>
      </c>
    </row>
    <row r="69" spans="1:52" s="23" customFormat="1" ht="36.75" customHeight="1">
      <c r="A69" s="186" t="s">
        <v>624</v>
      </c>
      <c r="B69" s="151" t="s">
        <v>625</v>
      </c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68"/>
      <c r="Q69" s="68"/>
      <c r="R69" s="68">
        <v>516</v>
      </c>
      <c r="S69" s="68">
        <v>36</v>
      </c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68" t="s">
        <v>35</v>
      </c>
      <c r="AW69" s="68" t="s">
        <v>865</v>
      </c>
      <c r="AX69" s="68" t="s">
        <v>626</v>
      </c>
      <c r="AY69" s="68" t="s">
        <v>306</v>
      </c>
      <c r="AZ69" s="121" t="s">
        <v>306</v>
      </c>
    </row>
    <row r="70" spans="1:52" s="8" customFormat="1" ht="36.75" customHeight="1">
      <c r="A70" s="179" t="s">
        <v>137</v>
      </c>
      <c r="B70" s="92" t="s">
        <v>915</v>
      </c>
      <c r="C70" s="2" t="s">
        <v>50</v>
      </c>
      <c r="D70" s="145"/>
      <c r="E70" s="145"/>
      <c r="F70" s="145"/>
      <c r="G70" s="145"/>
      <c r="H70" s="91">
        <v>4811</v>
      </c>
      <c r="I70" s="2"/>
      <c r="J70" s="91">
        <v>21464</v>
      </c>
      <c r="K70" s="91">
        <v>65.14</v>
      </c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91" t="s">
        <v>37</v>
      </c>
      <c r="AW70" s="91" t="s">
        <v>610</v>
      </c>
      <c r="AX70" s="91" t="s">
        <v>86</v>
      </c>
      <c r="AY70" s="91" t="s">
        <v>306</v>
      </c>
      <c r="AZ70" s="367" t="s">
        <v>610</v>
      </c>
    </row>
    <row r="71" spans="1:52" s="8" customFormat="1" ht="36.75" customHeight="1" thickBot="1">
      <c r="A71" s="297"/>
      <c r="B71" s="157" t="s">
        <v>937</v>
      </c>
      <c r="C71" s="304" t="s">
        <v>936</v>
      </c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>
        <v>400</v>
      </c>
      <c r="O71" s="126">
        <v>40</v>
      </c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305" t="s">
        <v>269</v>
      </c>
      <c r="AW71" s="305" t="s">
        <v>865</v>
      </c>
      <c r="AX71" s="305" t="s">
        <v>987</v>
      </c>
      <c r="AY71" s="305" t="s">
        <v>306</v>
      </c>
      <c r="AZ71" s="121" t="s">
        <v>306</v>
      </c>
    </row>
    <row r="72" spans="1:52" s="1" customFormat="1" ht="16.5" thickBot="1">
      <c r="A72" s="122"/>
      <c r="B72" s="1405" t="s">
        <v>14</v>
      </c>
      <c r="C72" s="1405"/>
      <c r="D72" s="165">
        <f>SUM(D51:D71)</f>
        <v>0</v>
      </c>
      <c r="E72" s="165">
        <f aca="true" t="shared" si="1" ref="E72:AU72">SUM(E51:E71)</f>
        <v>0</v>
      </c>
      <c r="F72" s="165">
        <f t="shared" si="1"/>
        <v>17</v>
      </c>
      <c r="G72" s="165">
        <f t="shared" si="1"/>
        <v>11.18</v>
      </c>
      <c r="H72" s="165">
        <f t="shared" si="1"/>
        <v>4811</v>
      </c>
      <c r="I72" s="165">
        <f t="shared" si="1"/>
        <v>0</v>
      </c>
      <c r="J72" s="165">
        <f t="shared" si="1"/>
        <v>21464</v>
      </c>
      <c r="K72" s="165">
        <f t="shared" si="1"/>
        <v>104.94</v>
      </c>
      <c r="L72" s="165">
        <f t="shared" si="1"/>
        <v>0</v>
      </c>
      <c r="M72" s="165">
        <f t="shared" si="1"/>
        <v>0</v>
      </c>
      <c r="N72" s="165">
        <f t="shared" si="1"/>
        <v>400</v>
      </c>
      <c r="O72" s="165">
        <f t="shared" si="1"/>
        <v>40</v>
      </c>
      <c r="P72" s="165">
        <f t="shared" si="1"/>
        <v>0</v>
      </c>
      <c r="Q72" s="165">
        <f t="shared" si="1"/>
        <v>0</v>
      </c>
      <c r="R72" s="165">
        <f t="shared" si="1"/>
        <v>1239</v>
      </c>
      <c r="S72" s="165">
        <f t="shared" si="1"/>
        <v>71.1</v>
      </c>
      <c r="T72" s="165">
        <f t="shared" si="1"/>
        <v>0</v>
      </c>
      <c r="U72" s="165">
        <f t="shared" si="1"/>
        <v>0</v>
      </c>
      <c r="V72" s="165">
        <f t="shared" si="1"/>
        <v>0</v>
      </c>
      <c r="W72" s="165">
        <f t="shared" si="1"/>
        <v>0</v>
      </c>
      <c r="X72" s="165">
        <f t="shared" si="1"/>
        <v>0</v>
      </c>
      <c r="Y72" s="165">
        <f t="shared" si="1"/>
        <v>0</v>
      </c>
      <c r="Z72" s="165">
        <f t="shared" si="1"/>
        <v>0</v>
      </c>
      <c r="AA72" s="165">
        <f t="shared" si="1"/>
        <v>0</v>
      </c>
      <c r="AB72" s="165">
        <f t="shared" si="1"/>
        <v>0</v>
      </c>
      <c r="AC72" s="165">
        <f t="shared" si="1"/>
        <v>0</v>
      </c>
      <c r="AD72" s="165">
        <f t="shared" si="1"/>
        <v>3</v>
      </c>
      <c r="AE72" s="165">
        <f t="shared" si="1"/>
        <v>1369.52</v>
      </c>
      <c r="AF72" s="165">
        <f t="shared" si="1"/>
        <v>3</v>
      </c>
      <c r="AG72" s="165">
        <f t="shared" si="1"/>
        <v>301</v>
      </c>
      <c r="AH72" s="165">
        <f t="shared" si="1"/>
        <v>1765</v>
      </c>
      <c r="AI72" s="165">
        <f t="shared" si="1"/>
        <v>16.06</v>
      </c>
      <c r="AJ72" s="165">
        <f t="shared" si="1"/>
        <v>0</v>
      </c>
      <c r="AK72" s="165">
        <f t="shared" si="1"/>
        <v>0</v>
      </c>
      <c r="AL72" s="165">
        <f t="shared" si="1"/>
        <v>0</v>
      </c>
      <c r="AM72" s="165">
        <f t="shared" si="1"/>
        <v>359.31</v>
      </c>
      <c r="AN72" s="165">
        <f t="shared" si="1"/>
        <v>0</v>
      </c>
      <c r="AO72" s="165">
        <f t="shared" si="1"/>
        <v>0</v>
      </c>
      <c r="AP72" s="165">
        <f t="shared" si="1"/>
        <v>12</v>
      </c>
      <c r="AQ72" s="165">
        <f t="shared" si="1"/>
        <v>43.2</v>
      </c>
      <c r="AR72" s="165">
        <f t="shared" si="1"/>
        <v>0</v>
      </c>
      <c r="AS72" s="165">
        <f t="shared" si="1"/>
        <v>0</v>
      </c>
      <c r="AT72" s="165">
        <f t="shared" si="1"/>
        <v>30</v>
      </c>
      <c r="AU72" s="165">
        <f t="shared" si="1"/>
        <v>264.68</v>
      </c>
      <c r="AV72" s="125"/>
      <c r="AW72" s="125"/>
      <c r="AX72" s="125"/>
      <c r="AY72" s="125"/>
      <c r="AZ72" s="124"/>
    </row>
    <row r="73" spans="1:52" s="1" customFormat="1" ht="16.5" thickBot="1">
      <c r="A73" s="122"/>
      <c r="B73" s="1405" t="s">
        <v>90</v>
      </c>
      <c r="C73" s="1405"/>
      <c r="D73" s="165">
        <f>SUM(D50,D72)</f>
        <v>0</v>
      </c>
      <c r="E73" s="165">
        <f aca="true" t="shared" si="2" ref="E73:AU73">SUM(E50,E72)</f>
        <v>0</v>
      </c>
      <c r="F73" s="165">
        <f t="shared" si="2"/>
        <v>56</v>
      </c>
      <c r="G73" s="165">
        <f t="shared" si="2"/>
        <v>204.23</v>
      </c>
      <c r="H73" s="165">
        <f t="shared" si="2"/>
        <v>4886</v>
      </c>
      <c r="I73" s="165">
        <f t="shared" si="2"/>
        <v>0</v>
      </c>
      <c r="J73" s="165">
        <f t="shared" si="2"/>
        <v>21464</v>
      </c>
      <c r="K73" s="165">
        <f t="shared" si="2"/>
        <v>151.24</v>
      </c>
      <c r="L73" s="165">
        <f t="shared" si="2"/>
        <v>195</v>
      </c>
      <c r="M73" s="165">
        <f t="shared" si="2"/>
        <v>0</v>
      </c>
      <c r="N73" s="165">
        <f t="shared" si="2"/>
        <v>403</v>
      </c>
      <c r="O73" s="165">
        <f t="shared" si="2"/>
        <v>78.5</v>
      </c>
      <c r="P73" s="165">
        <f t="shared" si="2"/>
        <v>360</v>
      </c>
      <c r="Q73" s="165">
        <f t="shared" si="2"/>
        <v>17</v>
      </c>
      <c r="R73" s="165">
        <f t="shared" si="2"/>
        <v>1959</v>
      </c>
      <c r="S73" s="165">
        <f t="shared" si="2"/>
        <v>117.52</v>
      </c>
      <c r="T73" s="165">
        <f t="shared" si="2"/>
        <v>340</v>
      </c>
      <c r="U73" s="165">
        <f t="shared" si="2"/>
        <v>0</v>
      </c>
      <c r="V73" s="165">
        <f t="shared" si="2"/>
        <v>400</v>
      </c>
      <c r="W73" s="165">
        <f t="shared" si="2"/>
        <v>24.88</v>
      </c>
      <c r="X73" s="165">
        <f t="shared" si="2"/>
        <v>435</v>
      </c>
      <c r="Y73" s="165">
        <f t="shared" si="2"/>
        <v>293</v>
      </c>
      <c r="Z73" s="165">
        <f t="shared" si="2"/>
        <v>165</v>
      </c>
      <c r="AA73" s="165">
        <f t="shared" si="2"/>
        <v>5.76</v>
      </c>
      <c r="AB73" s="165">
        <f t="shared" si="2"/>
        <v>2</v>
      </c>
      <c r="AC73" s="165">
        <f t="shared" si="2"/>
        <v>1</v>
      </c>
      <c r="AD73" s="165">
        <f t="shared" si="2"/>
        <v>357</v>
      </c>
      <c r="AE73" s="165">
        <f t="shared" si="2"/>
        <v>1422.02</v>
      </c>
      <c r="AF73" s="165">
        <f t="shared" si="2"/>
        <v>9</v>
      </c>
      <c r="AG73" s="165">
        <f t="shared" si="2"/>
        <v>371</v>
      </c>
      <c r="AH73" s="165">
        <f t="shared" si="2"/>
        <v>9368</v>
      </c>
      <c r="AI73" s="165">
        <f t="shared" si="2"/>
        <v>319.3</v>
      </c>
      <c r="AJ73" s="165">
        <f t="shared" si="2"/>
        <v>0</v>
      </c>
      <c r="AK73" s="165">
        <f t="shared" si="2"/>
        <v>762</v>
      </c>
      <c r="AL73" s="165">
        <f t="shared" si="2"/>
        <v>300</v>
      </c>
      <c r="AM73" s="165">
        <f t="shared" si="2"/>
        <v>533.26</v>
      </c>
      <c r="AN73" s="165">
        <f t="shared" si="2"/>
        <v>0</v>
      </c>
      <c r="AO73" s="165">
        <f t="shared" si="2"/>
        <v>0</v>
      </c>
      <c r="AP73" s="165">
        <f t="shared" si="2"/>
        <v>155</v>
      </c>
      <c r="AQ73" s="165">
        <f t="shared" si="2"/>
        <v>281.40999999999997</v>
      </c>
      <c r="AR73" s="165">
        <f t="shared" si="2"/>
        <v>342</v>
      </c>
      <c r="AS73" s="165">
        <f t="shared" si="2"/>
        <v>0</v>
      </c>
      <c r="AT73" s="165">
        <f t="shared" si="2"/>
        <v>372</v>
      </c>
      <c r="AU73" s="165">
        <f t="shared" si="2"/>
        <v>284.68</v>
      </c>
      <c r="AV73" s="165"/>
      <c r="AW73" s="165"/>
      <c r="AX73" s="165"/>
      <c r="AY73" s="165"/>
      <c r="AZ73" s="124"/>
    </row>
    <row r="74" spans="1:52" s="8" customFormat="1" ht="18" customHeight="1">
      <c r="A74" s="27"/>
      <c r="B74" s="190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</row>
    <row r="75" spans="34:47" ht="18" customHeight="1"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</row>
    <row r="76" spans="34:47" ht="18" customHeight="1"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</row>
    <row r="77" spans="34:47" ht="18" customHeight="1"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</row>
    <row r="78" spans="34:47" ht="18" customHeight="1"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</row>
    <row r="79" spans="34:47" ht="18" customHeight="1"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</row>
    <row r="80" spans="34:47" ht="18" customHeight="1"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</row>
    <row r="81" spans="34:47" ht="18" customHeight="1"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</row>
    <row r="82" spans="34:47" ht="18" customHeight="1"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</row>
    <row r="83" spans="34:47" ht="18" customHeight="1"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</row>
    <row r="84" spans="34:47" ht="18" customHeight="1"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</row>
    <row r="85" spans="34:47" ht="18" customHeight="1"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</row>
    <row r="86" spans="34:47" ht="18" customHeight="1"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</row>
    <row r="87" spans="34:47" ht="18" customHeight="1"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</row>
    <row r="88" spans="34:47" ht="18" customHeight="1"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</row>
    <row r="89" spans="34:47" ht="18" customHeight="1"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</row>
    <row r="90" spans="34:47" ht="18" customHeight="1"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</row>
    <row r="91" spans="34:47" ht="18" customHeight="1"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</row>
    <row r="92" spans="34:47" ht="18" customHeight="1"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</row>
    <row r="93" spans="34:47" ht="18" customHeight="1"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</row>
    <row r="94" spans="34:47" ht="18" customHeight="1"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</row>
    <row r="95" spans="34:47" ht="18" customHeight="1"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</row>
    <row r="96" spans="34:47" ht="18" customHeight="1"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</row>
    <row r="97" spans="34:47" ht="18" customHeight="1"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</row>
    <row r="98" spans="34:47" ht="18" customHeight="1"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</row>
    <row r="99" spans="34:47" ht="18" customHeight="1"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</row>
    <row r="100" spans="34:47" ht="18" customHeight="1"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</row>
    <row r="101" spans="34:47" ht="18" customHeight="1"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</row>
    <row r="102" spans="34:47" ht="18" customHeight="1"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</row>
    <row r="103" spans="34:47" ht="18" customHeight="1"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</row>
    <row r="104" spans="34:47" ht="18" customHeight="1"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</row>
    <row r="105" spans="34:47" ht="18" customHeight="1"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</row>
    <row r="106" spans="34:47" ht="18" customHeight="1"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</row>
    <row r="107" spans="34:47" ht="18" customHeight="1"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</row>
    <row r="108" spans="34:47" ht="18" customHeight="1"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</row>
  </sheetData>
  <sheetProtection/>
  <mergeCells count="61">
    <mergeCell ref="AZ4:AZ5"/>
    <mergeCell ref="AN3:AQ3"/>
    <mergeCell ref="AN4:AO4"/>
    <mergeCell ref="AP4:AQ4"/>
    <mergeCell ref="AR3:AU3"/>
    <mergeCell ref="AC6:AC12"/>
    <mergeCell ref="D3:G3"/>
    <mergeCell ref="D4:E4"/>
    <mergeCell ref="F4:G4"/>
    <mergeCell ref="AB6:AB12"/>
    <mergeCell ref="AY4:AY5"/>
    <mergeCell ref="AX4:AX5"/>
    <mergeCell ref="A6:A12"/>
    <mergeCell ref="B7:B8"/>
    <mergeCell ref="S7:S8"/>
    <mergeCell ref="AF3:AI3"/>
    <mergeCell ref="P3:S3"/>
    <mergeCell ref="P4:Q4"/>
    <mergeCell ref="R4:S4"/>
    <mergeCell ref="T3:W3"/>
    <mergeCell ref="AE6:AE12"/>
    <mergeCell ref="B73:C73"/>
    <mergeCell ref="B50:C50"/>
    <mergeCell ref="B72:C72"/>
    <mergeCell ref="AV45:AV47"/>
    <mergeCell ref="A1:AZ1"/>
    <mergeCell ref="A2:AZ2"/>
    <mergeCell ref="A4:A5"/>
    <mergeCell ref="B4:B5"/>
    <mergeCell ref="C4:C5"/>
    <mergeCell ref="AF4:AG4"/>
    <mergeCell ref="X4:Y4"/>
    <mergeCell ref="Z4:AA4"/>
    <mergeCell ref="AW45:AW47"/>
    <mergeCell ref="AV32:AV34"/>
    <mergeCell ref="AW32:AW34"/>
    <mergeCell ref="AV38:AV40"/>
    <mergeCell ref="AW38:AW40"/>
    <mergeCell ref="AH4:AI4"/>
    <mergeCell ref="AV4:AV5"/>
    <mergeCell ref="AW4:AW5"/>
    <mergeCell ref="A3:C3"/>
    <mergeCell ref="AV3:AZ3"/>
    <mergeCell ref="AJ3:AM3"/>
    <mergeCell ref="AJ4:AK4"/>
    <mergeCell ref="AL4:AM4"/>
    <mergeCell ref="H3:K3"/>
    <mergeCell ref="AR4:AS4"/>
    <mergeCell ref="AT4:AU4"/>
    <mergeCell ref="AB3:AE3"/>
    <mergeCell ref="AB4:AC4"/>
    <mergeCell ref="H4:I4"/>
    <mergeCell ref="J4:K4"/>
    <mergeCell ref="L3:O3"/>
    <mergeCell ref="L4:M4"/>
    <mergeCell ref="AD6:AD12"/>
    <mergeCell ref="T4:U4"/>
    <mergeCell ref="V4:W4"/>
    <mergeCell ref="AD4:AE4"/>
    <mergeCell ref="N4:O4"/>
    <mergeCell ref="X3:AA3"/>
  </mergeCells>
  <printOptions/>
  <pageMargins left="0.4724409448818898" right="0.15748031496062992" top="0.35433070866141736" bottom="0.31496062992125984" header="0.2755905511811024" footer="0.1968503937007874"/>
  <pageSetup horizontalDpi="600" verticalDpi="600" orientation="landscape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Z75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8" customHeight="1"/>
  <cols>
    <col min="1" max="1" width="13.140625" style="18" customWidth="1"/>
    <col min="2" max="2" width="34.7109375" style="18" customWidth="1"/>
    <col min="3" max="3" width="22.28125" style="10" customWidth="1"/>
    <col min="4" max="15" width="6.57421875" style="10" customWidth="1"/>
    <col min="16" max="19" width="6.7109375" style="10" customWidth="1"/>
    <col min="20" max="22" width="7.00390625" style="10" customWidth="1"/>
    <col min="23" max="23" width="8.421875" style="10" customWidth="1"/>
    <col min="24" max="24" width="7.421875" style="10" customWidth="1"/>
    <col min="25" max="25" width="6.140625" style="10" customWidth="1"/>
    <col min="26" max="26" width="6.57421875" style="10" customWidth="1"/>
    <col min="27" max="43" width="8.00390625" style="10" customWidth="1"/>
    <col min="44" max="44" width="6.57421875" style="16" customWidth="1"/>
    <col min="45" max="45" width="7.421875" style="16" customWidth="1"/>
    <col min="46" max="46" width="7.00390625" style="16" customWidth="1"/>
    <col min="47" max="47" width="10.28125" style="16" customWidth="1"/>
    <col min="48" max="48" width="15.57421875" style="4" customWidth="1"/>
    <col min="49" max="49" width="16.57421875" style="4" customWidth="1"/>
    <col min="50" max="50" width="29.7109375" style="4" customWidth="1"/>
    <col min="51" max="51" width="14.57421875" style="4" customWidth="1"/>
    <col min="52" max="52" width="22.8515625" style="4" customWidth="1"/>
    <col min="53" max="16384" width="9.140625" style="4" customWidth="1"/>
  </cols>
  <sheetData>
    <row r="1" spans="1:52" ht="28.5" customHeight="1" thickBot="1">
      <c r="A1" s="1424" t="s">
        <v>82</v>
      </c>
      <c r="B1" s="1425"/>
      <c r="C1" s="1425"/>
      <c r="D1" s="1425"/>
      <c r="E1" s="1425"/>
      <c r="F1" s="1425"/>
      <c r="G1" s="1425"/>
      <c r="H1" s="1425"/>
      <c r="I1" s="1425"/>
      <c r="J1" s="1425"/>
      <c r="K1" s="1425"/>
      <c r="L1" s="1425"/>
      <c r="M1" s="1425"/>
      <c r="N1" s="1425"/>
      <c r="O1" s="1425"/>
      <c r="P1" s="1425"/>
      <c r="Q1" s="1425"/>
      <c r="R1" s="1425"/>
      <c r="S1" s="1425"/>
      <c r="T1" s="1425"/>
      <c r="U1" s="1425"/>
      <c r="V1" s="1425"/>
      <c r="W1" s="1425"/>
      <c r="X1" s="1425"/>
      <c r="Y1" s="1425"/>
      <c r="Z1" s="1425"/>
      <c r="AA1" s="1425"/>
      <c r="AB1" s="1425"/>
      <c r="AC1" s="1425"/>
      <c r="AD1" s="1425"/>
      <c r="AE1" s="1425"/>
      <c r="AF1" s="1425"/>
      <c r="AG1" s="1425"/>
      <c r="AH1" s="1425"/>
      <c r="AI1" s="1425"/>
      <c r="AJ1" s="1425"/>
      <c r="AK1" s="1425"/>
      <c r="AL1" s="1425"/>
      <c r="AM1" s="1425"/>
      <c r="AN1" s="1425"/>
      <c r="AO1" s="1425"/>
      <c r="AP1" s="1425"/>
      <c r="AQ1" s="1425"/>
      <c r="AR1" s="1425"/>
      <c r="AS1" s="1425"/>
      <c r="AT1" s="1425"/>
      <c r="AU1" s="1425"/>
      <c r="AV1" s="1425"/>
      <c r="AW1" s="1425"/>
      <c r="AX1" s="1425"/>
      <c r="AY1" s="1425"/>
      <c r="AZ1" s="1426"/>
    </row>
    <row r="2" spans="1:52" ht="22.5" customHeight="1" thickBot="1">
      <c r="A2" s="1410" t="s">
        <v>550</v>
      </c>
      <c r="B2" s="1411"/>
      <c r="C2" s="1411"/>
      <c r="D2" s="1411"/>
      <c r="E2" s="1411"/>
      <c r="F2" s="1411"/>
      <c r="G2" s="1411"/>
      <c r="H2" s="1411"/>
      <c r="I2" s="1411"/>
      <c r="J2" s="1411"/>
      <c r="K2" s="1411"/>
      <c r="L2" s="1411"/>
      <c r="M2" s="1411"/>
      <c r="N2" s="1411"/>
      <c r="O2" s="1411"/>
      <c r="P2" s="1411"/>
      <c r="Q2" s="1411"/>
      <c r="R2" s="1411"/>
      <c r="S2" s="1411"/>
      <c r="T2" s="1411"/>
      <c r="U2" s="1411"/>
      <c r="V2" s="1411"/>
      <c r="W2" s="1411"/>
      <c r="X2" s="1411"/>
      <c r="Y2" s="1411"/>
      <c r="Z2" s="1411"/>
      <c r="AA2" s="1411"/>
      <c r="AB2" s="1411"/>
      <c r="AC2" s="1411"/>
      <c r="AD2" s="1411"/>
      <c r="AE2" s="1411"/>
      <c r="AF2" s="1411"/>
      <c r="AG2" s="1411"/>
      <c r="AH2" s="1411"/>
      <c r="AI2" s="1411"/>
      <c r="AJ2" s="1411"/>
      <c r="AK2" s="1411"/>
      <c r="AL2" s="1411"/>
      <c r="AM2" s="1411"/>
      <c r="AN2" s="1411"/>
      <c r="AO2" s="1411"/>
      <c r="AP2" s="1411"/>
      <c r="AQ2" s="1411"/>
      <c r="AR2" s="1411"/>
      <c r="AS2" s="1411"/>
      <c r="AT2" s="1411"/>
      <c r="AU2" s="1411"/>
      <c r="AV2" s="1411"/>
      <c r="AW2" s="1411"/>
      <c r="AX2" s="1411"/>
      <c r="AY2" s="1411"/>
      <c r="AZ2" s="1412"/>
    </row>
    <row r="3" spans="1:52" ht="22.5" customHeight="1" thickBot="1">
      <c r="A3" s="1404"/>
      <c r="B3" s="1399"/>
      <c r="C3" s="1399"/>
      <c r="D3" s="1398" t="s">
        <v>988</v>
      </c>
      <c r="E3" s="1399"/>
      <c r="F3" s="1399"/>
      <c r="G3" s="1400"/>
      <c r="H3" s="1398" t="s">
        <v>989</v>
      </c>
      <c r="I3" s="1399"/>
      <c r="J3" s="1399"/>
      <c r="K3" s="1400"/>
      <c r="L3" s="1398" t="s">
        <v>990</v>
      </c>
      <c r="M3" s="1399"/>
      <c r="N3" s="1399"/>
      <c r="O3" s="1400"/>
      <c r="P3" s="1398" t="s">
        <v>991</v>
      </c>
      <c r="Q3" s="1399"/>
      <c r="R3" s="1399"/>
      <c r="S3" s="1400"/>
      <c r="T3" s="1398" t="s">
        <v>992</v>
      </c>
      <c r="U3" s="1399"/>
      <c r="V3" s="1399"/>
      <c r="W3" s="1400"/>
      <c r="X3" s="1398" t="s">
        <v>993</v>
      </c>
      <c r="Y3" s="1399"/>
      <c r="Z3" s="1399"/>
      <c r="AA3" s="1400"/>
      <c r="AB3" s="1398" t="s">
        <v>994</v>
      </c>
      <c r="AC3" s="1399"/>
      <c r="AD3" s="1399"/>
      <c r="AE3" s="1400"/>
      <c r="AF3" s="1398" t="s">
        <v>995</v>
      </c>
      <c r="AG3" s="1399"/>
      <c r="AH3" s="1399"/>
      <c r="AI3" s="1400"/>
      <c r="AJ3" s="1398" t="s">
        <v>996</v>
      </c>
      <c r="AK3" s="1399"/>
      <c r="AL3" s="1399"/>
      <c r="AM3" s="1400"/>
      <c r="AN3" s="1398" t="s">
        <v>997</v>
      </c>
      <c r="AO3" s="1399"/>
      <c r="AP3" s="1399"/>
      <c r="AQ3" s="1400"/>
      <c r="AR3" s="1398" t="s">
        <v>1382</v>
      </c>
      <c r="AS3" s="1399"/>
      <c r="AT3" s="1399"/>
      <c r="AU3" s="1400"/>
      <c r="AV3" s="1398"/>
      <c r="AW3" s="1399"/>
      <c r="AX3" s="1399"/>
      <c r="AY3" s="1400"/>
      <c r="AZ3" s="941"/>
    </row>
    <row r="4" spans="1:52" ht="18" customHeight="1">
      <c r="A4" s="1413" t="s">
        <v>116</v>
      </c>
      <c r="B4" s="1414" t="s">
        <v>2</v>
      </c>
      <c r="C4" s="1414" t="s">
        <v>3</v>
      </c>
      <c r="D4" s="1397" t="s">
        <v>112</v>
      </c>
      <c r="E4" s="1397"/>
      <c r="F4" s="1397" t="s">
        <v>113</v>
      </c>
      <c r="G4" s="1397"/>
      <c r="H4" s="1397" t="s">
        <v>112</v>
      </c>
      <c r="I4" s="1397"/>
      <c r="J4" s="1397" t="s">
        <v>113</v>
      </c>
      <c r="K4" s="1397"/>
      <c r="L4" s="1397" t="s">
        <v>112</v>
      </c>
      <c r="M4" s="1397"/>
      <c r="N4" s="1397" t="s">
        <v>113</v>
      </c>
      <c r="O4" s="1397"/>
      <c r="P4" s="1397" t="s">
        <v>112</v>
      </c>
      <c r="Q4" s="1397"/>
      <c r="R4" s="1397" t="s">
        <v>113</v>
      </c>
      <c r="S4" s="1397"/>
      <c r="T4" s="1397" t="s">
        <v>112</v>
      </c>
      <c r="U4" s="1397"/>
      <c r="V4" s="1397" t="s">
        <v>113</v>
      </c>
      <c r="W4" s="1397"/>
      <c r="X4" s="1397" t="s">
        <v>112</v>
      </c>
      <c r="Y4" s="1397"/>
      <c r="Z4" s="1397" t="s">
        <v>113</v>
      </c>
      <c r="AA4" s="1397"/>
      <c r="AB4" s="1397" t="s">
        <v>112</v>
      </c>
      <c r="AC4" s="1397"/>
      <c r="AD4" s="1397" t="s">
        <v>113</v>
      </c>
      <c r="AE4" s="1397"/>
      <c r="AF4" s="1397" t="s">
        <v>112</v>
      </c>
      <c r="AG4" s="1397"/>
      <c r="AH4" s="1397" t="s">
        <v>113</v>
      </c>
      <c r="AI4" s="1397"/>
      <c r="AJ4" s="1397" t="s">
        <v>112</v>
      </c>
      <c r="AK4" s="1397"/>
      <c r="AL4" s="1397" t="s">
        <v>113</v>
      </c>
      <c r="AM4" s="1397"/>
      <c r="AN4" s="1397" t="s">
        <v>112</v>
      </c>
      <c r="AO4" s="1397"/>
      <c r="AP4" s="1397" t="s">
        <v>113</v>
      </c>
      <c r="AQ4" s="1397"/>
      <c r="AR4" s="1397" t="s">
        <v>112</v>
      </c>
      <c r="AS4" s="1397"/>
      <c r="AT4" s="1397" t="s">
        <v>113</v>
      </c>
      <c r="AU4" s="1397"/>
      <c r="AV4" s="1397" t="s">
        <v>4</v>
      </c>
      <c r="AW4" s="1397" t="s">
        <v>122</v>
      </c>
      <c r="AX4" s="1416" t="s">
        <v>5</v>
      </c>
      <c r="AY4" s="1416" t="s">
        <v>83</v>
      </c>
      <c r="AZ4" s="1422" t="s">
        <v>84</v>
      </c>
    </row>
    <row r="5" spans="1:52" ht="97.5" customHeight="1" thickBot="1">
      <c r="A5" s="1272"/>
      <c r="B5" s="1415"/>
      <c r="C5" s="1415"/>
      <c r="D5" s="25" t="s">
        <v>6</v>
      </c>
      <c r="E5" s="25" t="s">
        <v>7</v>
      </c>
      <c r="F5" s="25" t="s">
        <v>6</v>
      </c>
      <c r="G5" s="25" t="s">
        <v>96</v>
      </c>
      <c r="H5" s="25" t="s">
        <v>6</v>
      </c>
      <c r="I5" s="25" t="s">
        <v>7</v>
      </c>
      <c r="J5" s="25" t="s">
        <v>6</v>
      </c>
      <c r="K5" s="25" t="s">
        <v>96</v>
      </c>
      <c r="L5" s="25" t="s">
        <v>6</v>
      </c>
      <c r="M5" s="25" t="s">
        <v>7</v>
      </c>
      <c r="N5" s="25" t="s">
        <v>6</v>
      </c>
      <c r="O5" s="25" t="s">
        <v>96</v>
      </c>
      <c r="P5" s="25" t="s">
        <v>6</v>
      </c>
      <c r="Q5" s="25" t="s">
        <v>7</v>
      </c>
      <c r="R5" s="25" t="s">
        <v>6</v>
      </c>
      <c r="S5" s="25" t="s">
        <v>96</v>
      </c>
      <c r="T5" s="25" t="s">
        <v>6</v>
      </c>
      <c r="U5" s="25" t="s">
        <v>7</v>
      </c>
      <c r="V5" s="25" t="s">
        <v>6</v>
      </c>
      <c r="W5" s="25" t="s">
        <v>96</v>
      </c>
      <c r="X5" s="25" t="s">
        <v>6</v>
      </c>
      <c r="Y5" s="25" t="s">
        <v>7</v>
      </c>
      <c r="Z5" s="25" t="s">
        <v>6</v>
      </c>
      <c r="AA5" s="25" t="s">
        <v>96</v>
      </c>
      <c r="AB5" s="25" t="s">
        <v>6</v>
      </c>
      <c r="AC5" s="25" t="s">
        <v>7</v>
      </c>
      <c r="AD5" s="25" t="s">
        <v>6</v>
      </c>
      <c r="AE5" s="25" t="s">
        <v>96</v>
      </c>
      <c r="AF5" s="25" t="s">
        <v>6</v>
      </c>
      <c r="AG5" s="25" t="s">
        <v>7</v>
      </c>
      <c r="AH5" s="25" t="s">
        <v>6</v>
      </c>
      <c r="AI5" s="25" t="s">
        <v>96</v>
      </c>
      <c r="AJ5" s="25" t="s">
        <v>6</v>
      </c>
      <c r="AK5" s="25" t="s">
        <v>7</v>
      </c>
      <c r="AL5" s="25" t="s">
        <v>6</v>
      </c>
      <c r="AM5" s="25" t="s">
        <v>96</v>
      </c>
      <c r="AN5" s="25" t="s">
        <v>6</v>
      </c>
      <c r="AO5" s="25" t="s">
        <v>7</v>
      </c>
      <c r="AP5" s="25" t="s">
        <v>6</v>
      </c>
      <c r="AQ5" s="25" t="s">
        <v>96</v>
      </c>
      <c r="AR5" s="25" t="s">
        <v>6</v>
      </c>
      <c r="AS5" s="25" t="s">
        <v>7</v>
      </c>
      <c r="AT5" s="25" t="s">
        <v>6</v>
      </c>
      <c r="AU5" s="25" t="s">
        <v>96</v>
      </c>
      <c r="AV5" s="1118"/>
      <c r="AW5" s="1118"/>
      <c r="AX5" s="1417"/>
      <c r="AY5" s="1417"/>
      <c r="AZ5" s="1423"/>
    </row>
    <row r="6" spans="1:52" s="13" customFormat="1" ht="47.25">
      <c r="A6" s="201" t="s">
        <v>1181</v>
      </c>
      <c r="B6" s="151" t="s">
        <v>1383</v>
      </c>
      <c r="C6" s="33" t="s">
        <v>610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 t="s">
        <v>610</v>
      </c>
      <c r="AU6" s="33">
        <v>100.8</v>
      </c>
      <c r="AV6" s="33"/>
      <c r="AW6" s="33"/>
      <c r="AX6" s="33"/>
      <c r="AY6" s="33"/>
      <c r="AZ6" s="120"/>
    </row>
    <row r="7" spans="1:52" s="13" customFormat="1" ht="42" customHeight="1">
      <c r="A7" s="201" t="s">
        <v>1034</v>
      </c>
      <c r="B7" s="151" t="s">
        <v>1384</v>
      </c>
      <c r="C7" s="33" t="s">
        <v>610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 t="s">
        <v>610</v>
      </c>
      <c r="AU7" s="33">
        <v>34</v>
      </c>
      <c r="AV7" s="33"/>
      <c r="AW7" s="33"/>
      <c r="AX7" s="33"/>
      <c r="AY7" s="33"/>
      <c r="AZ7" s="120"/>
    </row>
    <row r="8" spans="1:52" s="672" customFormat="1" ht="15.75">
      <c r="A8" s="1304" t="s">
        <v>220</v>
      </c>
      <c r="B8" s="151" t="s">
        <v>627</v>
      </c>
      <c r="C8" s="55" t="s">
        <v>665</v>
      </c>
      <c r="D8" s="338"/>
      <c r="E8" s="338"/>
      <c r="F8" s="338"/>
      <c r="G8" s="338"/>
      <c r="H8" s="1427" t="s">
        <v>1152</v>
      </c>
      <c r="I8" s="1427">
        <v>0</v>
      </c>
      <c r="J8" s="1427">
        <v>15</v>
      </c>
      <c r="K8" s="1430">
        <v>0.3</v>
      </c>
      <c r="L8" s="942"/>
      <c r="M8" s="942"/>
      <c r="N8" s="942"/>
      <c r="O8" s="942"/>
      <c r="P8" s="1427">
        <v>840</v>
      </c>
      <c r="Q8" s="1427">
        <v>238</v>
      </c>
      <c r="R8" s="1427">
        <v>510</v>
      </c>
      <c r="S8" s="1427">
        <v>6.36</v>
      </c>
      <c r="T8" s="115"/>
      <c r="U8" s="115"/>
      <c r="V8" s="115"/>
      <c r="W8" s="115"/>
      <c r="X8" s="115"/>
      <c r="Y8" s="115"/>
      <c r="Z8" s="115"/>
      <c r="AA8" s="115"/>
      <c r="AB8" s="55">
        <v>180</v>
      </c>
      <c r="AC8" s="145">
        <v>0</v>
      </c>
      <c r="AD8" s="55"/>
      <c r="AE8" s="5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50"/>
      <c r="AS8" s="150"/>
      <c r="AT8" s="150"/>
      <c r="AU8" s="150"/>
      <c r="AV8" s="88" t="s">
        <v>73</v>
      </c>
      <c r="AW8" s="88">
        <v>30</v>
      </c>
      <c r="AX8" s="88" t="s">
        <v>86</v>
      </c>
      <c r="AY8" s="88" t="s">
        <v>306</v>
      </c>
      <c r="AZ8" s="123" t="s">
        <v>372</v>
      </c>
    </row>
    <row r="9" spans="1:52" s="672" customFormat="1" ht="45">
      <c r="A9" s="1305"/>
      <c r="B9" s="155" t="s">
        <v>1385</v>
      </c>
      <c r="C9" s="943" t="s">
        <v>1386</v>
      </c>
      <c r="D9" s="94"/>
      <c r="E9" s="94"/>
      <c r="F9" s="94"/>
      <c r="G9" s="94"/>
      <c r="H9" s="1428"/>
      <c r="I9" s="1428"/>
      <c r="J9" s="1428"/>
      <c r="K9" s="1431"/>
      <c r="L9" s="944"/>
      <c r="M9" s="944"/>
      <c r="N9" s="944"/>
      <c r="O9" s="944"/>
      <c r="P9" s="1428"/>
      <c r="Q9" s="1428"/>
      <c r="R9" s="1428"/>
      <c r="S9" s="1428"/>
      <c r="T9" s="115"/>
      <c r="U9" s="115"/>
      <c r="V9" s="115"/>
      <c r="W9" s="115"/>
      <c r="X9" s="115"/>
      <c r="Y9" s="115"/>
      <c r="Z9" s="115"/>
      <c r="AA9" s="115"/>
      <c r="AB9" s="55"/>
      <c r="AC9" s="145"/>
      <c r="AD9" s="55"/>
      <c r="AE9" s="5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28">
        <v>48</v>
      </c>
      <c r="AQ9" s="33">
        <v>2.4</v>
      </c>
      <c r="AR9" s="150"/>
      <c r="AS9" s="150"/>
      <c r="AT9" s="150"/>
      <c r="AU9" s="150"/>
      <c r="AV9" s="91" t="s">
        <v>9</v>
      </c>
      <c r="AW9" s="945" t="s">
        <v>970</v>
      </c>
      <c r="AX9" s="91" t="s">
        <v>1387</v>
      </c>
      <c r="AY9" s="68" t="s">
        <v>306</v>
      </c>
      <c r="AZ9" s="946" t="s">
        <v>1388</v>
      </c>
    </row>
    <row r="10" spans="1:52" s="672" customFormat="1" ht="18" customHeight="1">
      <c r="A10" s="1305"/>
      <c r="B10" s="1173" t="s">
        <v>1389</v>
      </c>
      <c r="C10" s="55" t="s">
        <v>563</v>
      </c>
      <c r="D10" s="94"/>
      <c r="E10" s="94"/>
      <c r="F10" s="94"/>
      <c r="G10" s="94"/>
      <c r="H10" s="1428"/>
      <c r="I10" s="1428"/>
      <c r="J10" s="1428"/>
      <c r="K10" s="1431"/>
      <c r="L10" s="944"/>
      <c r="M10" s="944"/>
      <c r="N10" s="944"/>
      <c r="O10" s="944"/>
      <c r="P10" s="1428"/>
      <c r="Q10" s="1428"/>
      <c r="R10" s="1428"/>
      <c r="S10" s="1428"/>
      <c r="T10" s="91"/>
      <c r="U10" s="91"/>
      <c r="V10" s="2"/>
      <c r="W10" s="2"/>
      <c r="X10" s="55"/>
      <c r="Y10" s="55"/>
      <c r="Z10" s="55"/>
      <c r="AA10" s="55"/>
      <c r="AB10" s="55"/>
      <c r="AC10" s="55"/>
      <c r="AD10" s="55"/>
      <c r="AE10" s="55"/>
      <c r="AF10" s="91">
        <f>10*20</f>
        <v>200</v>
      </c>
      <c r="AG10" s="91">
        <v>19</v>
      </c>
      <c r="AH10" s="2" t="s">
        <v>575</v>
      </c>
      <c r="AI10" s="2">
        <v>16.31</v>
      </c>
      <c r="AJ10" s="2"/>
      <c r="AK10" s="2"/>
      <c r="AL10" s="2"/>
      <c r="AM10" s="2"/>
      <c r="AN10" s="2"/>
      <c r="AO10" s="2"/>
      <c r="AP10" s="2"/>
      <c r="AQ10" s="2"/>
      <c r="AR10" s="14"/>
      <c r="AS10" s="14"/>
      <c r="AT10" s="14"/>
      <c r="AU10" s="14"/>
      <c r="AV10" s="68" t="s">
        <v>69</v>
      </c>
      <c r="AW10" s="128">
        <v>30</v>
      </c>
      <c r="AX10" s="68" t="s">
        <v>86</v>
      </c>
      <c r="AY10" s="68" t="s">
        <v>610</v>
      </c>
      <c r="AZ10" s="121" t="s">
        <v>306</v>
      </c>
    </row>
    <row r="11" spans="1:52" s="672" customFormat="1" ht="22.5" customHeight="1">
      <c r="A11" s="1305"/>
      <c r="B11" s="1175"/>
      <c r="C11" s="55" t="s">
        <v>1390</v>
      </c>
      <c r="D11" s="94"/>
      <c r="E11" s="94"/>
      <c r="F11" s="94"/>
      <c r="G11" s="94"/>
      <c r="H11" s="1428"/>
      <c r="I11" s="1428"/>
      <c r="J11" s="1428"/>
      <c r="K11" s="1431"/>
      <c r="L11" s="944"/>
      <c r="M11" s="944"/>
      <c r="N11" s="944"/>
      <c r="O11" s="944"/>
      <c r="P11" s="1428"/>
      <c r="Q11" s="1428"/>
      <c r="R11" s="1428"/>
      <c r="S11" s="1428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127">
        <v>200</v>
      </c>
      <c r="AG11" s="127">
        <v>181</v>
      </c>
      <c r="AH11" s="2">
        <v>210</v>
      </c>
      <c r="AI11" s="2">
        <v>2.33</v>
      </c>
      <c r="AJ11" s="2"/>
      <c r="AK11" s="2"/>
      <c r="AL11" s="2"/>
      <c r="AM11" s="2"/>
      <c r="AN11" s="2"/>
      <c r="AO11" s="2"/>
      <c r="AP11" s="2"/>
      <c r="AQ11" s="2"/>
      <c r="AR11" s="14"/>
      <c r="AS11" s="14"/>
      <c r="AT11" s="14"/>
      <c r="AU11" s="14"/>
      <c r="AV11" s="68" t="s">
        <v>69</v>
      </c>
      <c r="AW11" s="128">
        <v>30</v>
      </c>
      <c r="AX11" s="68" t="s">
        <v>86</v>
      </c>
      <c r="AY11" s="68" t="s">
        <v>610</v>
      </c>
      <c r="AZ11" s="121" t="s">
        <v>306</v>
      </c>
    </row>
    <row r="12" spans="1:52" s="672" customFormat="1" ht="44.25" customHeight="1">
      <c r="A12" s="1305"/>
      <c r="B12" s="151" t="s">
        <v>1391</v>
      </c>
      <c r="C12" s="127" t="s">
        <v>1392</v>
      </c>
      <c r="D12" s="947"/>
      <c r="E12" s="947"/>
      <c r="F12" s="947"/>
      <c r="G12" s="947"/>
      <c r="H12" s="1428"/>
      <c r="I12" s="1428"/>
      <c r="J12" s="1428"/>
      <c r="K12" s="1431"/>
      <c r="L12" s="944"/>
      <c r="M12" s="944"/>
      <c r="N12" s="944"/>
      <c r="O12" s="944"/>
      <c r="P12" s="1428"/>
      <c r="Q12" s="1428"/>
      <c r="R12" s="1428"/>
      <c r="S12" s="1428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127">
        <f>10*30</f>
        <v>300</v>
      </c>
      <c r="AG12" s="127">
        <v>295</v>
      </c>
      <c r="AH12" s="2">
        <v>210</v>
      </c>
      <c r="AI12" s="55"/>
      <c r="AJ12" s="55"/>
      <c r="AK12" s="55"/>
      <c r="AL12" s="55"/>
      <c r="AM12" s="55"/>
      <c r="AN12" s="55"/>
      <c r="AO12" s="55"/>
      <c r="AP12" s="55"/>
      <c r="AQ12" s="55"/>
      <c r="AR12" s="14"/>
      <c r="AS12" s="14"/>
      <c r="AT12" s="14"/>
      <c r="AU12" s="14"/>
      <c r="AV12" s="68" t="s">
        <v>73</v>
      </c>
      <c r="AW12" s="128">
        <v>30</v>
      </c>
      <c r="AX12" s="68" t="s">
        <v>86</v>
      </c>
      <c r="AY12" s="68" t="s">
        <v>610</v>
      </c>
      <c r="AZ12" s="121" t="s">
        <v>306</v>
      </c>
    </row>
    <row r="13" spans="1:52" s="672" customFormat="1" ht="21.75" customHeight="1">
      <c r="A13" s="1305"/>
      <c r="B13" s="151" t="s">
        <v>630</v>
      </c>
      <c r="C13" s="55"/>
      <c r="D13" s="94"/>
      <c r="E13" s="94"/>
      <c r="F13" s="94"/>
      <c r="G13" s="94"/>
      <c r="H13" s="1428"/>
      <c r="I13" s="1428"/>
      <c r="J13" s="1428"/>
      <c r="K13" s="1431"/>
      <c r="L13" s="944"/>
      <c r="M13" s="944"/>
      <c r="N13" s="944"/>
      <c r="O13" s="944"/>
      <c r="P13" s="1428"/>
      <c r="Q13" s="1428"/>
      <c r="R13" s="1428"/>
      <c r="S13" s="1428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14"/>
      <c r="AS13" s="14"/>
      <c r="AT13" s="14"/>
      <c r="AU13" s="14"/>
      <c r="AV13" s="68" t="s">
        <v>73</v>
      </c>
      <c r="AW13" s="128">
        <v>30</v>
      </c>
      <c r="AX13" s="68" t="s">
        <v>86</v>
      </c>
      <c r="AY13" s="68" t="s">
        <v>610</v>
      </c>
      <c r="AZ13" s="121" t="s">
        <v>306</v>
      </c>
    </row>
    <row r="14" spans="1:52" s="672" customFormat="1" ht="35.25" customHeight="1">
      <c r="A14" s="1305"/>
      <c r="B14" s="151" t="s">
        <v>631</v>
      </c>
      <c r="C14" s="55"/>
      <c r="D14" s="94"/>
      <c r="E14" s="94"/>
      <c r="F14" s="94"/>
      <c r="G14" s="94"/>
      <c r="H14" s="1428"/>
      <c r="I14" s="1428"/>
      <c r="J14" s="1428"/>
      <c r="K14" s="1431"/>
      <c r="L14" s="944"/>
      <c r="M14" s="944"/>
      <c r="N14" s="944"/>
      <c r="O14" s="944"/>
      <c r="P14" s="1428"/>
      <c r="Q14" s="1428"/>
      <c r="R14" s="1428"/>
      <c r="S14" s="1428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14"/>
      <c r="AS14" s="14"/>
      <c r="AT14" s="14"/>
      <c r="AU14" s="14"/>
      <c r="AV14" s="68" t="s">
        <v>73</v>
      </c>
      <c r="AW14" s="128">
        <v>30</v>
      </c>
      <c r="AX14" s="68" t="s">
        <v>86</v>
      </c>
      <c r="AY14" s="68" t="s">
        <v>610</v>
      </c>
      <c r="AZ14" s="121" t="s">
        <v>306</v>
      </c>
    </row>
    <row r="15" spans="1:52" s="672" customFormat="1" ht="35.25" customHeight="1">
      <c r="A15" s="1306"/>
      <c r="B15" s="151" t="s">
        <v>632</v>
      </c>
      <c r="C15" s="55"/>
      <c r="D15" s="115"/>
      <c r="E15" s="115"/>
      <c r="F15" s="115"/>
      <c r="G15" s="115"/>
      <c r="H15" s="1429"/>
      <c r="I15" s="1429"/>
      <c r="J15" s="1429"/>
      <c r="K15" s="1432"/>
      <c r="L15" s="948"/>
      <c r="M15" s="948"/>
      <c r="N15" s="948"/>
      <c r="O15" s="948"/>
      <c r="P15" s="1429"/>
      <c r="Q15" s="1429"/>
      <c r="R15" s="1429"/>
      <c r="S15" s="1429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14"/>
      <c r="AS15" s="14"/>
      <c r="AT15" s="14"/>
      <c r="AU15" s="14"/>
      <c r="AV15" s="68" t="s">
        <v>73</v>
      </c>
      <c r="AW15" s="128">
        <v>30</v>
      </c>
      <c r="AX15" s="68" t="s">
        <v>86</v>
      </c>
      <c r="AY15" s="68" t="s">
        <v>610</v>
      </c>
      <c r="AZ15" s="121" t="s">
        <v>306</v>
      </c>
    </row>
    <row r="16" spans="1:52" s="672" customFormat="1" ht="47.25">
      <c r="A16" s="179" t="s">
        <v>668</v>
      </c>
      <c r="B16" s="92" t="s">
        <v>1393</v>
      </c>
      <c r="C16" s="2" t="s">
        <v>1394</v>
      </c>
      <c r="D16" s="2"/>
      <c r="E16" s="2"/>
      <c r="F16" s="2"/>
      <c r="G16" s="2"/>
      <c r="H16" s="2" t="s">
        <v>1152</v>
      </c>
      <c r="I16" s="91">
        <v>0</v>
      </c>
      <c r="J16" s="646">
        <v>30</v>
      </c>
      <c r="K16" s="129">
        <v>0.7</v>
      </c>
      <c r="L16" s="665">
        <v>50</v>
      </c>
      <c r="M16" s="665">
        <v>51</v>
      </c>
      <c r="N16" s="203">
        <v>50</v>
      </c>
      <c r="O16" s="792">
        <v>5</v>
      </c>
      <c r="P16" s="2"/>
      <c r="Q16" s="2"/>
      <c r="R16" s="2"/>
      <c r="S16" s="2">
        <v>5</v>
      </c>
      <c r="T16" s="2"/>
      <c r="U16" s="2"/>
      <c r="V16" s="2"/>
      <c r="W16" s="2"/>
      <c r="X16" s="2">
        <v>100</v>
      </c>
      <c r="Y16" s="2"/>
      <c r="Z16" s="2"/>
      <c r="AA16" s="2"/>
      <c r="AB16" s="2"/>
      <c r="AC16" s="2"/>
      <c r="AD16" s="2"/>
      <c r="AE16" s="2"/>
      <c r="AF16" s="127">
        <f>5*20</f>
        <v>100</v>
      </c>
      <c r="AG16" s="127">
        <v>51</v>
      </c>
      <c r="AH16" s="2">
        <v>100</v>
      </c>
      <c r="AI16" s="2">
        <v>11.21</v>
      </c>
      <c r="AJ16" s="2"/>
      <c r="AK16" s="2"/>
      <c r="AL16" s="2"/>
      <c r="AM16" s="2"/>
      <c r="AN16" s="2"/>
      <c r="AO16" s="2"/>
      <c r="AP16" s="2"/>
      <c r="AQ16" s="2"/>
      <c r="AR16" s="14"/>
      <c r="AS16" s="14"/>
      <c r="AT16" s="14"/>
      <c r="AU16" s="14"/>
      <c r="AV16" s="14"/>
      <c r="AW16" s="128">
        <v>30</v>
      </c>
      <c r="AX16" s="145" t="s">
        <v>984</v>
      </c>
      <c r="AY16" s="145" t="s">
        <v>306</v>
      </c>
      <c r="AZ16" s="116" t="s">
        <v>669</v>
      </c>
    </row>
    <row r="17" spans="1:52" s="672" customFormat="1" ht="37.5" customHeight="1">
      <c r="A17" s="182" t="s">
        <v>373</v>
      </c>
      <c r="B17" s="151" t="s">
        <v>85</v>
      </c>
      <c r="C17" s="145" t="s">
        <v>221</v>
      </c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>
        <v>400</v>
      </c>
      <c r="AQ17" s="145">
        <v>127.8</v>
      </c>
      <c r="AR17" s="145"/>
      <c r="AS17" s="145"/>
      <c r="AT17" s="145"/>
      <c r="AU17" s="145"/>
      <c r="AV17" s="145" t="s">
        <v>376</v>
      </c>
      <c r="AW17" s="128">
        <v>30</v>
      </c>
      <c r="AX17" s="88" t="s">
        <v>86</v>
      </c>
      <c r="AY17" s="88" t="s">
        <v>306</v>
      </c>
      <c r="AZ17" s="123" t="s">
        <v>377</v>
      </c>
    </row>
    <row r="18" spans="1:52" s="672" customFormat="1" ht="37.5" customHeight="1">
      <c r="A18" s="1170" t="s">
        <v>671</v>
      </c>
      <c r="B18" s="92" t="s">
        <v>1395</v>
      </c>
      <c r="C18" s="2" t="s">
        <v>1396</v>
      </c>
      <c r="D18" s="2"/>
      <c r="E18" s="2"/>
      <c r="F18" s="2"/>
      <c r="G18" s="2"/>
      <c r="H18" s="2"/>
      <c r="I18" s="2"/>
      <c r="J18" s="2"/>
      <c r="K18" s="2"/>
      <c r="L18" s="665">
        <v>50</v>
      </c>
      <c r="M18" s="665">
        <v>50</v>
      </c>
      <c r="N18" s="203">
        <v>200</v>
      </c>
      <c r="O18" s="792">
        <v>5</v>
      </c>
      <c r="P18" s="2"/>
      <c r="Q18" s="2"/>
      <c r="R18" s="2"/>
      <c r="S18" s="2"/>
      <c r="T18" s="643">
        <v>240</v>
      </c>
      <c r="U18" s="643">
        <v>100</v>
      </c>
      <c r="V18" s="644">
        <v>900</v>
      </c>
      <c r="W18" s="645">
        <v>16</v>
      </c>
      <c r="X18" s="2"/>
      <c r="Y18" s="2"/>
      <c r="Z18" s="2"/>
      <c r="AA18" s="2"/>
      <c r="AB18" s="2"/>
      <c r="AC18" s="2"/>
      <c r="AD18" s="2"/>
      <c r="AE18" s="2"/>
      <c r="AF18" s="91">
        <f>25*20</f>
        <v>500</v>
      </c>
      <c r="AG18" s="91">
        <v>112</v>
      </c>
      <c r="AH18" s="2" t="s">
        <v>575</v>
      </c>
      <c r="AI18" s="2">
        <v>31.74</v>
      </c>
      <c r="AJ18" s="33">
        <v>690</v>
      </c>
      <c r="AK18" s="33">
        <v>859</v>
      </c>
      <c r="AL18" s="68">
        <v>870</v>
      </c>
      <c r="AM18" s="1433">
        <v>204.55</v>
      </c>
      <c r="AN18" s="2"/>
      <c r="AO18" s="2"/>
      <c r="AP18" s="2"/>
      <c r="AQ18" s="2"/>
      <c r="AR18" s="145"/>
      <c r="AS18" s="145"/>
      <c r="AT18" s="145"/>
      <c r="AU18" s="145"/>
      <c r="AV18" s="33" t="s">
        <v>233</v>
      </c>
      <c r="AW18" s="128">
        <v>30</v>
      </c>
      <c r="AX18" s="1031" t="s">
        <v>1397</v>
      </c>
      <c r="AY18" s="2" t="s">
        <v>306</v>
      </c>
      <c r="AZ18" s="116" t="s">
        <v>669</v>
      </c>
    </row>
    <row r="19" spans="1:52" s="672" customFormat="1" ht="37.5" customHeight="1">
      <c r="A19" s="1171"/>
      <c r="B19" s="198" t="s">
        <v>1398</v>
      </c>
      <c r="C19" s="145" t="s">
        <v>1399</v>
      </c>
      <c r="D19" s="2"/>
      <c r="E19" s="2"/>
      <c r="F19" s="2"/>
      <c r="G19" s="2"/>
      <c r="H19" s="2"/>
      <c r="I19" s="2"/>
      <c r="J19" s="2"/>
      <c r="K19" s="2"/>
      <c r="L19" s="665"/>
      <c r="M19" s="665"/>
      <c r="N19" s="203"/>
      <c r="O19" s="792"/>
      <c r="P19" s="2"/>
      <c r="Q19" s="2"/>
      <c r="R19" s="2"/>
      <c r="S19" s="2"/>
      <c r="T19" s="643"/>
      <c r="U19" s="643"/>
      <c r="V19" s="644"/>
      <c r="W19" s="645"/>
      <c r="X19" s="2"/>
      <c r="Y19" s="2"/>
      <c r="Z19" s="2"/>
      <c r="AA19" s="2"/>
      <c r="AB19" s="2"/>
      <c r="AC19" s="2"/>
      <c r="AD19" s="2"/>
      <c r="AE19" s="2"/>
      <c r="AF19" s="91"/>
      <c r="AG19" s="91"/>
      <c r="AH19" s="2"/>
      <c r="AI19" s="2"/>
      <c r="AJ19" s="33"/>
      <c r="AK19" s="33"/>
      <c r="AL19" s="68"/>
      <c r="AM19" s="1434"/>
      <c r="AN19" s="2"/>
      <c r="AO19" s="68">
        <v>150</v>
      </c>
      <c r="AP19" s="33">
        <v>10.75</v>
      </c>
      <c r="AQ19" s="2"/>
      <c r="AR19" s="145"/>
      <c r="AS19" s="145"/>
      <c r="AT19" s="145"/>
      <c r="AU19" s="145"/>
      <c r="AV19" s="88" t="s">
        <v>71</v>
      </c>
      <c r="AW19" s="128">
        <v>30</v>
      </c>
      <c r="AX19" s="1032"/>
      <c r="AY19" s="68" t="s">
        <v>306</v>
      </c>
      <c r="AZ19" s="116" t="s">
        <v>1400</v>
      </c>
    </row>
    <row r="20" spans="1:52" s="672" customFormat="1" ht="37.5" customHeight="1">
      <c r="A20" s="1171"/>
      <c r="B20" s="92" t="s">
        <v>1401</v>
      </c>
      <c r="C20" s="131" t="s">
        <v>33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33">
        <v>2520</v>
      </c>
      <c r="AK20" s="33">
        <v>396</v>
      </c>
      <c r="AL20" s="68">
        <v>1800</v>
      </c>
      <c r="AM20" s="1434"/>
      <c r="AN20" s="2"/>
      <c r="AO20" s="2"/>
      <c r="AP20" s="2"/>
      <c r="AQ20" s="2"/>
      <c r="AR20" s="145"/>
      <c r="AS20" s="145"/>
      <c r="AT20" s="145"/>
      <c r="AU20" s="145"/>
      <c r="AV20" s="33" t="s">
        <v>73</v>
      </c>
      <c r="AW20" s="128">
        <v>20</v>
      </c>
      <c r="AX20" s="1032"/>
      <c r="AY20" s="2" t="s">
        <v>306</v>
      </c>
      <c r="AZ20" s="116" t="s">
        <v>669</v>
      </c>
    </row>
    <row r="21" spans="1:52" s="672" customFormat="1" ht="55.5" customHeight="1">
      <c r="A21" s="1172"/>
      <c r="B21" s="92" t="s">
        <v>1402</v>
      </c>
      <c r="C21" s="131" t="s">
        <v>1403</v>
      </c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>
        <v>100</v>
      </c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33">
        <v>2520</v>
      </c>
      <c r="AK21" s="949">
        <v>561</v>
      </c>
      <c r="AL21" s="68">
        <v>2130</v>
      </c>
      <c r="AM21" s="1435"/>
      <c r="AN21" s="145"/>
      <c r="AO21" s="145"/>
      <c r="AP21" s="145"/>
      <c r="AQ21" s="145"/>
      <c r="AR21" s="145"/>
      <c r="AS21" s="145"/>
      <c r="AT21" s="145"/>
      <c r="AU21" s="145"/>
      <c r="AV21" s="33" t="s">
        <v>73</v>
      </c>
      <c r="AW21" s="128">
        <v>30</v>
      </c>
      <c r="AX21" s="1033"/>
      <c r="AY21" s="14" t="s">
        <v>306</v>
      </c>
      <c r="AZ21" s="123" t="s">
        <v>360</v>
      </c>
    </row>
    <row r="22" spans="1:52" s="672" customFormat="1" ht="37.5" customHeight="1">
      <c r="A22" s="182" t="s">
        <v>222</v>
      </c>
      <c r="B22" s="151" t="s">
        <v>223</v>
      </c>
      <c r="C22" s="145"/>
      <c r="D22" s="68"/>
      <c r="E22" s="68"/>
      <c r="F22" s="68">
        <v>240</v>
      </c>
      <c r="G22" s="68">
        <v>3.24</v>
      </c>
      <c r="H22" s="145"/>
      <c r="I22" s="145"/>
      <c r="J22" s="145"/>
      <c r="K22" s="145"/>
      <c r="L22" s="145"/>
      <c r="M22" s="145"/>
      <c r="N22" s="145"/>
      <c r="O22" s="145"/>
      <c r="P22" s="643">
        <v>42</v>
      </c>
      <c r="Q22" s="643">
        <v>33</v>
      </c>
      <c r="R22" s="643">
        <v>42</v>
      </c>
      <c r="S22" s="645">
        <v>0.87</v>
      </c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>
        <v>24.15</v>
      </c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 t="s">
        <v>81</v>
      </c>
      <c r="AW22" s="128"/>
      <c r="AX22" s="145" t="s">
        <v>64</v>
      </c>
      <c r="AY22" s="195" t="s">
        <v>306</v>
      </c>
      <c r="AZ22" s="265" t="s">
        <v>306</v>
      </c>
    </row>
    <row r="23" spans="1:52" s="672" customFormat="1" ht="55.5" customHeight="1">
      <c r="A23" s="182" t="s">
        <v>750</v>
      </c>
      <c r="B23" s="171" t="s">
        <v>1404</v>
      </c>
      <c r="C23" s="112" t="s">
        <v>752</v>
      </c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45">
        <v>585</v>
      </c>
      <c r="AC23" s="145">
        <v>219</v>
      </c>
      <c r="AD23" s="145">
        <v>1020</v>
      </c>
      <c r="AE23" s="145">
        <v>262.52</v>
      </c>
      <c r="AF23" s="112"/>
      <c r="AG23" s="112"/>
      <c r="AH23" s="145">
        <v>600</v>
      </c>
      <c r="AI23" s="145">
        <v>43.7</v>
      </c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 t="s">
        <v>753</v>
      </c>
      <c r="AW23" s="128">
        <v>30</v>
      </c>
      <c r="AX23" s="145" t="s">
        <v>64</v>
      </c>
      <c r="AY23" s="195" t="s">
        <v>306</v>
      </c>
      <c r="AZ23" s="265" t="s">
        <v>306</v>
      </c>
    </row>
    <row r="24" spans="1:52" s="672" customFormat="1" ht="37.5" customHeight="1">
      <c r="A24" s="182" t="s">
        <v>605</v>
      </c>
      <c r="B24" s="155" t="s">
        <v>614</v>
      </c>
      <c r="C24" s="33" t="s">
        <v>606</v>
      </c>
      <c r="D24" s="68">
        <v>30</v>
      </c>
      <c r="E24" s="68"/>
      <c r="F24" s="68">
        <v>30</v>
      </c>
      <c r="G24" s="68">
        <v>0.3</v>
      </c>
      <c r="H24" s="33"/>
      <c r="I24" s="33"/>
      <c r="J24" s="33"/>
      <c r="K24" s="33"/>
      <c r="L24" s="665">
        <v>2</v>
      </c>
      <c r="M24" s="665">
        <v>1</v>
      </c>
      <c r="N24" s="665" t="s">
        <v>610</v>
      </c>
      <c r="O24" s="195">
        <v>4</v>
      </c>
      <c r="P24" s="68">
        <v>17</v>
      </c>
      <c r="Q24" s="68">
        <v>13</v>
      </c>
      <c r="R24" s="68">
        <v>13</v>
      </c>
      <c r="S24" s="1145">
        <v>16.7</v>
      </c>
      <c r="T24" s="33"/>
      <c r="U24" s="33"/>
      <c r="V24" s="33"/>
      <c r="W24" s="33"/>
      <c r="X24" s="33">
        <v>20</v>
      </c>
      <c r="Y24" s="33"/>
      <c r="Z24" s="33">
        <v>120</v>
      </c>
      <c r="AA24" s="33">
        <v>3.75</v>
      </c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>
        <v>1</v>
      </c>
      <c r="AO24" s="33">
        <v>0</v>
      </c>
      <c r="AP24" s="101">
        <v>60</v>
      </c>
      <c r="AQ24" s="33">
        <v>2</v>
      </c>
      <c r="AR24" s="68"/>
      <c r="AS24" s="68"/>
      <c r="AT24" s="68"/>
      <c r="AU24" s="68"/>
      <c r="AV24" s="68" t="s">
        <v>69</v>
      </c>
      <c r="AW24" s="128" t="s">
        <v>865</v>
      </c>
      <c r="AX24" s="145" t="s">
        <v>609</v>
      </c>
      <c r="AY24" s="68" t="s">
        <v>610</v>
      </c>
      <c r="AZ24" s="116" t="s">
        <v>611</v>
      </c>
    </row>
    <row r="25" spans="1:52" s="672" customFormat="1" ht="37.5" customHeight="1">
      <c r="A25" s="186" t="s">
        <v>607</v>
      </c>
      <c r="B25" s="89" t="s">
        <v>225</v>
      </c>
      <c r="C25" s="33" t="s">
        <v>608</v>
      </c>
      <c r="D25" s="68">
        <v>390</v>
      </c>
      <c r="E25" s="68"/>
      <c r="F25" s="68">
        <v>390</v>
      </c>
      <c r="G25" s="68">
        <v>3.9</v>
      </c>
      <c r="H25" s="168"/>
      <c r="I25" s="168"/>
      <c r="J25" s="168"/>
      <c r="K25" s="168"/>
      <c r="L25" s="665">
        <v>32</v>
      </c>
      <c r="M25" s="665">
        <v>10</v>
      </c>
      <c r="N25" s="665" t="s">
        <v>610</v>
      </c>
      <c r="O25" s="195">
        <v>6.4</v>
      </c>
      <c r="P25" s="141">
        <v>447</v>
      </c>
      <c r="Q25" s="141"/>
      <c r="R25" s="141">
        <v>10</v>
      </c>
      <c r="S25" s="1147"/>
      <c r="T25" s="33"/>
      <c r="U25" s="33"/>
      <c r="V25" s="33"/>
      <c r="W25" s="33"/>
      <c r="X25" s="33">
        <v>120</v>
      </c>
      <c r="Y25" s="33"/>
      <c r="Z25" s="33">
        <v>120</v>
      </c>
      <c r="AA25" s="33">
        <v>2.8</v>
      </c>
      <c r="AB25" s="145">
        <v>210</v>
      </c>
      <c r="AC25" s="424">
        <v>270</v>
      </c>
      <c r="AD25" s="145">
        <v>210</v>
      </c>
      <c r="AE25" s="145">
        <v>4.2</v>
      </c>
      <c r="AF25" s="68">
        <v>30</v>
      </c>
      <c r="AG25" s="68">
        <v>0</v>
      </c>
      <c r="AH25" s="145"/>
      <c r="AI25" s="145"/>
      <c r="AJ25" s="145"/>
      <c r="AK25" s="145"/>
      <c r="AL25" s="145"/>
      <c r="AM25" s="145"/>
      <c r="AN25" s="33">
        <v>1</v>
      </c>
      <c r="AO25" s="33">
        <v>0</v>
      </c>
      <c r="AP25" s="101">
        <v>600</v>
      </c>
      <c r="AQ25" s="33">
        <v>12</v>
      </c>
      <c r="AR25" s="68"/>
      <c r="AS25" s="68"/>
      <c r="AT25" s="68"/>
      <c r="AU25" s="68"/>
      <c r="AV25" s="68" t="s">
        <v>35</v>
      </c>
      <c r="AW25" s="128">
        <v>30</v>
      </c>
      <c r="AX25" s="68" t="s">
        <v>612</v>
      </c>
      <c r="AY25" s="68" t="s">
        <v>610</v>
      </c>
      <c r="AZ25" s="116" t="s">
        <v>613</v>
      </c>
    </row>
    <row r="26" spans="1:52" s="672" customFormat="1" ht="37.5" customHeight="1">
      <c r="A26" s="202" t="s">
        <v>219</v>
      </c>
      <c r="B26" s="89" t="s">
        <v>224</v>
      </c>
      <c r="C26" s="112" t="s">
        <v>1405</v>
      </c>
      <c r="D26" s="68">
        <v>870</v>
      </c>
      <c r="E26" s="68"/>
      <c r="F26" s="68">
        <v>870</v>
      </c>
      <c r="G26" s="68">
        <v>10.01</v>
      </c>
      <c r="H26" s="14"/>
      <c r="I26" s="14"/>
      <c r="J26" s="14"/>
      <c r="K26" s="14"/>
      <c r="L26" s="665">
        <v>109</v>
      </c>
      <c r="M26" s="665">
        <v>30</v>
      </c>
      <c r="N26" s="665" t="s">
        <v>610</v>
      </c>
      <c r="O26" s="195">
        <v>10.9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5">
        <v>570</v>
      </c>
      <c r="AC26" s="424">
        <v>390</v>
      </c>
      <c r="AD26" s="145">
        <v>570</v>
      </c>
      <c r="AE26" s="145">
        <v>6</v>
      </c>
      <c r="AF26" s="14"/>
      <c r="AG26" s="14"/>
      <c r="AH26" s="14"/>
      <c r="AI26" s="14"/>
      <c r="AJ26" s="14"/>
      <c r="AK26" s="14"/>
      <c r="AL26" s="14"/>
      <c r="AM26" s="14"/>
      <c r="AN26" s="33">
        <v>8</v>
      </c>
      <c r="AO26" s="33">
        <v>0</v>
      </c>
      <c r="AP26" s="101">
        <v>1200</v>
      </c>
      <c r="AQ26" s="33">
        <v>20</v>
      </c>
      <c r="AR26" s="68"/>
      <c r="AS26" s="68"/>
      <c r="AT26" s="68"/>
      <c r="AU26" s="68"/>
      <c r="AV26" s="14"/>
      <c r="AW26" s="128"/>
      <c r="AX26" s="14"/>
      <c r="AY26" s="14"/>
      <c r="AZ26" s="123"/>
    </row>
    <row r="27" spans="1:52" s="18" customFormat="1" ht="15.75">
      <c r="A27" s="26"/>
      <c r="B27" s="1406" t="s">
        <v>30</v>
      </c>
      <c r="C27" s="1406"/>
      <c r="D27" s="153">
        <f>SUM(D6:D26)</f>
        <v>1290</v>
      </c>
      <c r="E27" s="153">
        <f aca="true" t="shared" si="0" ref="E27:AU27">SUM(E6:E26)</f>
        <v>0</v>
      </c>
      <c r="F27" s="153">
        <f t="shared" si="0"/>
        <v>1530</v>
      </c>
      <c r="G27" s="153">
        <f t="shared" si="0"/>
        <v>17.45</v>
      </c>
      <c r="H27" s="153">
        <f t="shared" si="0"/>
        <v>0</v>
      </c>
      <c r="I27" s="153">
        <f t="shared" si="0"/>
        <v>0</v>
      </c>
      <c r="J27" s="153">
        <f t="shared" si="0"/>
        <v>45</v>
      </c>
      <c r="K27" s="153">
        <f t="shared" si="0"/>
        <v>1</v>
      </c>
      <c r="L27" s="153">
        <f t="shared" si="0"/>
        <v>243</v>
      </c>
      <c r="M27" s="153">
        <f t="shared" si="0"/>
        <v>142</v>
      </c>
      <c r="N27" s="153">
        <f t="shared" si="0"/>
        <v>250</v>
      </c>
      <c r="O27" s="153">
        <f t="shared" si="0"/>
        <v>31.299999999999997</v>
      </c>
      <c r="P27" s="153">
        <f t="shared" si="0"/>
        <v>1346</v>
      </c>
      <c r="Q27" s="153">
        <f t="shared" si="0"/>
        <v>284</v>
      </c>
      <c r="R27" s="153">
        <f t="shared" si="0"/>
        <v>575</v>
      </c>
      <c r="S27" s="153">
        <f t="shared" si="0"/>
        <v>28.93</v>
      </c>
      <c r="T27" s="153">
        <f t="shared" si="0"/>
        <v>240</v>
      </c>
      <c r="U27" s="153">
        <f t="shared" si="0"/>
        <v>100</v>
      </c>
      <c r="V27" s="153">
        <f t="shared" si="0"/>
        <v>900</v>
      </c>
      <c r="W27" s="153">
        <f t="shared" si="0"/>
        <v>16</v>
      </c>
      <c r="X27" s="153">
        <f t="shared" si="0"/>
        <v>340</v>
      </c>
      <c r="Y27" s="153">
        <f t="shared" si="0"/>
        <v>0</v>
      </c>
      <c r="Z27" s="153">
        <f t="shared" si="0"/>
        <v>240</v>
      </c>
      <c r="AA27" s="153">
        <f t="shared" si="0"/>
        <v>6.55</v>
      </c>
      <c r="AB27" s="153">
        <f t="shared" si="0"/>
        <v>1545</v>
      </c>
      <c r="AC27" s="153">
        <f t="shared" si="0"/>
        <v>879</v>
      </c>
      <c r="AD27" s="153">
        <f t="shared" si="0"/>
        <v>1800</v>
      </c>
      <c r="AE27" s="153">
        <f t="shared" si="0"/>
        <v>272.71999999999997</v>
      </c>
      <c r="AF27" s="153">
        <f t="shared" si="0"/>
        <v>1330</v>
      </c>
      <c r="AG27" s="153">
        <f t="shared" si="0"/>
        <v>658</v>
      </c>
      <c r="AH27" s="153">
        <f t="shared" si="0"/>
        <v>1120</v>
      </c>
      <c r="AI27" s="153">
        <f t="shared" si="0"/>
        <v>129.44</v>
      </c>
      <c r="AJ27" s="153">
        <f t="shared" si="0"/>
        <v>5730</v>
      </c>
      <c r="AK27" s="153">
        <f t="shared" si="0"/>
        <v>1816</v>
      </c>
      <c r="AL27" s="153">
        <f t="shared" si="0"/>
        <v>4800</v>
      </c>
      <c r="AM27" s="153">
        <f t="shared" si="0"/>
        <v>204.55</v>
      </c>
      <c r="AN27" s="153">
        <f t="shared" si="0"/>
        <v>10</v>
      </c>
      <c r="AO27" s="153">
        <f t="shared" si="0"/>
        <v>150</v>
      </c>
      <c r="AP27" s="153">
        <f t="shared" si="0"/>
        <v>2318.75</v>
      </c>
      <c r="AQ27" s="153">
        <f t="shared" si="0"/>
        <v>164.2</v>
      </c>
      <c r="AR27" s="153">
        <f t="shared" si="0"/>
        <v>0</v>
      </c>
      <c r="AS27" s="153">
        <f t="shared" si="0"/>
        <v>0</v>
      </c>
      <c r="AT27" s="153">
        <f t="shared" si="0"/>
        <v>0</v>
      </c>
      <c r="AU27" s="153">
        <f t="shared" si="0"/>
        <v>134.8</v>
      </c>
      <c r="AV27" s="15"/>
      <c r="AW27" s="15"/>
      <c r="AX27" s="15"/>
      <c r="AY27" s="15"/>
      <c r="AZ27" s="44"/>
    </row>
    <row r="28" spans="1:52" s="672" customFormat="1" ht="48" customHeight="1">
      <c r="A28" s="202" t="s">
        <v>227</v>
      </c>
      <c r="B28" s="147" t="s">
        <v>89</v>
      </c>
      <c r="C28" s="145" t="s">
        <v>1406</v>
      </c>
      <c r="D28" s="145"/>
      <c r="E28" s="145"/>
      <c r="F28" s="145"/>
      <c r="G28" s="145"/>
      <c r="H28" s="145" t="s">
        <v>1152</v>
      </c>
      <c r="I28" s="68">
        <v>0</v>
      </c>
      <c r="J28" s="176">
        <v>20</v>
      </c>
      <c r="K28" s="79">
        <v>2.5</v>
      </c>
      <c r="L28" s="79"/>
      <c r="M28" s="79"/>
      <c r="N28" s="79"/>
      <c r="O28" s="79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>
        <v>950</v>
      </c>
      <c r="AU28" s="145">
        <v>9.5</v>
      </c>
      <c r="AV28" s="145"/>
      <c r="AW28" s="128"/>
      <c r="AX28" s="145"/>
      <c r="AY28" s="30"/>
      <c r="AZ28" s="123"/>
    </row>
    <row r="29" spans="1:52" s="672" customFormat="1" ht="30.75" customHeight="1">
      <c r="A29" s="202" t="s">
        <v>760</v>
      </c>
      <c r="B29" s="147" t="s">
        <v>761</v>
      </c>
      <c r="C29" s="145" t="s">
        <v>762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10">
        <v>3600</v>
      </c>
      <c r="AS29" s="110">
        <v>0</v>
      </c>
      <c r="AT29" s="30"/>
      <c r="AU29" s="30"/>
      <c r="AV29" s="145"/>
      <c r="AW29" s="128"/>
      <c r="AX29" s="112" t="s">
        <v>764</v>
      </c>
      <c r="AY29" s="14"/>
      <c r="AZ29" s="123"/>
    </row>
    <row r="30" spans="1:52" s="22" customFormat="1" ht="30.75" customHeight="1">
      <c r="A30" s="186" t="s">
        <v>615</v>
      </c>
      <c r="B30" s="151" t="s">
        <v>616</v>
      </c>
      <c r="C30" s="33" t="s">
        <v>575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68"/>
      <c r="AS30" s="68"/>
      <c r="AT30" s="68"/>
      <c r="AU30" s="68"/>
      <c r="AV30" s="68" t="s">
        <v>73</v>
      </c>
      <c r="AW30" s="128">
        <v>16</v>
      </c>
      <c r="AX30" s="68" t="s">
        <v>86</v>
      </c>
      <c r="AY30" s="68" t="s">
        <v>610</v>
      </c>
      <c r="AZ30" s="116" t="s">
        <v>617</v>
      </c>
    </row>
    <row r="31" spans="1:52" s="672" customFormat="1" ht="22.5" customHeight="1">
      <c r="A31" s="202" t="s">
        <v>228</v>
      </c>
      <c r="B31" s="147" t="s">
        <v>229</v>
      </c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28"/>
      <c r="AX31" s="145"/>
      <c r="AY31" s="30"/>
      <c r="AZ31" s="123"/>
    </row>
    <row r="32" spans="1:52" s="672" customFormat="1" ht="30.75" customHeight="1">
      <c r="A32" s="202" t="s">
        <v>757</v>
      </c>
      <c r="B32" s="171" t="s">
        <v>758</v>
      </c>
      <c r="C32" s="112" t="s">
        <v>756</v>
      </c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33"/>
      <c r="AO32" s="33"/>
      <c r="AP32" s="68">
        <v>320</v>
      </c>
      <c r="AQ32" s="33">
        <v>26.88</v>
      </c>
      <c r="AR32" s="30"/>
      <c r="AS32" s="30"/>
      <c r="AT32" s="30"/>
      <c r="AU32" s="30"/>
      <c r="AV32" s="145" t="s">
        <v>1407</v>
      </c>
      <c r="AW32" s="128">
        <v>40</v>
      </c>
      <c r="AX32" s="145" t="s">
        <v>1408</v>
      </c>
      <c r="AY32" s="68" t="s">
        <v>306</v>
      </c>
      <c r="AZ32" s="121" t="s">
        <v>1409</v>
      </c>
    </row>
    <row r="33" spans="1:52" s="672" customFormat="1" ht="30.75" customHeight="1">
      <c r="A33" s="202" t="s">
        <v>812</v>
      </c>
      <c r="B33" s="156" t="s">
        <v>813</v>
      </c>
      <c r="C33" s="766" t="s">
        <v>814</v>
      </c>
      <c r="D33" s="766"/>
      <c r="E33" s="766"/>
      <c r="F33" s="766"/>
      <c r="G33" s="766"/>
      <c r="H33" s="766"/>
      <c r="I33" s="766"/>
      <c r="J33" s="766"/>
      <c r="K33" s="766"/>
      <c r="L33" s="766"/>
      <c r="M33" s="766"/>
      <c r="N33" s="766"/>
      <c r="O33" s="766"/>
      <c r="P33" s="766"/>
      <c r="Q33" s="766"/>
      <c r="R33" s="766"/>
      <c r="S33" s="766"/>
      <c r="T33" s="766"/>
      <c r="U33" s="766"/>
      <c r="V33" s="766"/>
      <c r="W33" s="766"/>
      <c r="X33" s="766"/>
      <c r="Y33" s="766"/>
      <c r="Z33" s="766"/>
      <c r="AA33" s="766"/>
      <c r="AB33" s="766"/>
      <c r="AC33" s="766"/>
      <c r="AD33" s="766"/>
      <c r="AE33" s="766"/>
      <c r="AF33" s="766"/>
      <c r="AG33" s="766"/>
      <c r="AH33" s="145">
        <v>1100</v>
      </c>
      <c r="AI33" s="145">
        <v>33.95</v>
      </c>
      <c r="AJ33" s="145"/>
      <c r="AK33" s="145"/>
      <c r="AL33" s="145"/>
      <c r="AM33" s="145"/>
      <c r="AN33" s="145"/>
      <c r="AO33" s="145"/>
      <c r="AP33" s="145"/>
      <c r="AQ33" s="145"/>
      <c r="AR33" s="68"/>
      <c r="AS33" s="68"/>
      <c r="AT33" s="68"/>
      <c r="AU33" s="68"/>
      <c r="AV33" s="766" t="s">
        <v>815</v>
      </c>
      <c r="AW33" s="128"/>
      <c r="AX33" s="145"/>
      <c r="AY33" s="14"/>
      <c r="AZ33" s="123"/>
    </row>
    <row r="34" spans="1:52" s="672" customFormat="1" ht="30.75" customHeight="1">
      <c r="A34" s="202" t="s">
        <v>230</v>
      </c>
      <c r="B34" s="147" t="s">
        <v>468</v>
      </c>
      <c r="C34" s="145" t="s">
        <v>34</v>
      </c>
      <c r="D34" s="145"/>
      <c r="E34" s="145"/>
      <c r="F34" s="145"/>
      <c r="G34" s="145"/>
      <c r="H34" s="145"/>
      <c r="I34" s="145"/>
      <c r="J34" s="145"/>
      <c r="K34" s="145"/>
      <c r="L34" s="195">
        <v>5</v>
      </c>
      <c r="M34" s="195">
        <v>5</v>
      </c>
      <c r="N34" s="195" t="s">
        <v>610</v>
      </c>
      <c r="O34" s="195">
        <v>5.38</v>
      </c>
      <c r="P34" s="145"/>
      <c r="Q34" s="145"/>
      <c r="R34" s="145"/>
      <c r="S34" s="145"/>
      <c r="T34" s="643">
        <v>30</v>
      </c>
      <c r="U34" s="643">
        <v>26</v>
      </c>
      <c r="V34" s="644">
        <v>500</v>
      </c>
      <c r="W34" s="645">
        <v>48</v>
      </c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68"/>
      <c r="AS34" s="68"/>
      <c r="AT34" s="68">
        <v>252</v>
      </c>
      <c r="AU34" s="68">
        <v>126</v>
      </c>
      <c r="AV34" s="145"/>
      <c r="AW34" s="128"/>
      <c r="AX34" s="145"/>
      <c r="AY34" s="30"/>
      <c r="AZ34" s="123"/>
    </row>
    <row r="35" spans="1:52" s="672" customFormat="1" ht="30.75" customHeight="1">
      <c r="A35" s="202" t="s">
        <v>1410</v>
      </c>
      <c r="B35" s="950" t="s">
        <v>1411</v>
      </c>
      <c r="C35" s="951" t="s">
        <v>22</v>
      </c>
      <c r="D35" s="33">
        <v>10</v>
      </c>
      <c r="E35" s="33"/>
      <c r="F35" s="68">
        <v>10</v>
      </c>
      <c r="G35" s="68">
        <v>27.5</v>
      </c>
      <c r="H35" s="951"/>
      <c r="I35" s="951"/>
      <c r="J35" s="951"/>
      <c r="K35" s="951"/>
      <c r="L35" s="951"/>
      <c r="M35" s="951"/>
      <c r="N35" s="951"/>
      <c r="O35" s="951"/>
      <c r="P35" s="951"/>
      <c r="Q35" s="951"/>
      <c r="R35" s="951"/>
      <c r="S35" s="951"/>
      <c r="T35" s="643">
        <v>90</v>
      </c>
      <c r="U35" s="643">
        <v>62</v>
      </c>
      <c r="V35" s="644">
        <v>90</v>
      </c>
      <c r="W35" s="645">
        <v>104.08</v>
      </c>
      <c r="X35" s="145"/>
      <c r="Y35" s="145"/>
      <c r="Z35" s="145"/>
      <c r="AA35" s="145"/>
      <c r="AB35" s="145">
        <v>5</v>
      </c>
      <c r="AC35" s="145">
        <v>0</v>
      </c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01">
        <v>10</v>
      </c>
      <c r="AO35" s="101"/>
      <c r="AP35" s="68">
        <v>10</v>
      </c>
      <c r="AQ35" s="68">
        <v>27.5</v>
      </c>
      <c r="AR35" s="68"/>
      <c r="AS35" s="68"/>
      <c r="AT35" s="68"/>
      <c r="AU35" s="68"/>
      <c r="AV35" s="145"/>
      <c r="AW35" s="128"/>
      <c r="AX35" s="645" t="s">
        <v>86</v>
      </c>
      <c r="AY35" s="30" t="s">
        <v>306</v>
      </c>
      <c r="AZ35" s="123" t="s">
        <v>306</v>
      </c>
    </row>
    <row r="36" spans="1:52" s="672" customFormat="1" ht="36.75" customHeight="1">
      <c r="A36" s="202" t="s">
        <v>1412</v>
      </c>
      <c r="B36" s="147" t="s">
        <v>1413</v>
      </c>
      <c r="C36" s="240" t="s">
        <v>1414</v>
      </c>
      <c r="D36" s="952"/>
      <c r="E36" s="952"/>
      <c r="F36" s="952"/>
      <c r="G36" s="952"/>
      <c r="H36" s="952"/>
      <c r="I36" s="952"/>
      <c r="J36" s="952"/>
      <c r="K36" s="952"/>
      <c r="L36" s="952"/>
      <c r="M36" s="952"/>
      <c r="N36" s="952"/>
      <c r="O36" s="952"/>
      <c r="P36" s="952"/>
      <c r="Q36" s="952"/>
      <c r="R36" s="952"/>
      <c r="S36" s="952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>
        <v>5.5</v>
      </c>
      <c r="AJ36" s="148"/>
      <c r="AK36" s="148"/>
      <c r="AL36" s="148"/>
      <c r="AM36" s="148"/>
      <c r="AN36" s="148"/>
      <c r="AO36" s="148"/>
      <c r="AP36" s="148"/>
      <c r="AQ36" s="148"/>
      <c r="AR36" s="145"/>
      <c r="AS36" s="145"/>
      <c r="AT36" s="145"/>
      <c r="AU36" s="145"/>
      <c r="AV36" s="145"/>
      <c r="AW36" s="128"/>
      <c r="AX36" s="145"/>
      <c r="AY36" s="30"/>
      <c r="AZ36" s="123"/>
    </row>
    <row r="37" spans="1:52" s="24" customFormat="1" ht="16.5" thickBot="1">
      <c r="A37" s="860" t="s">
        <v>1415</v>
      </c>
      <c r="B37" s="953" t="s">
        <v>1416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126">
        <v>250</v>
      </c>
      <c r="AV37" s="126" t="s">
        <v>610</v>
      </c>
      <c r="AW37" s="126" t="s">
        <v>610</v>
      </c>
      <c r="AX37" s="126" t="s">
        <v>610</v>
      </c>
      <c r="AY37" s="126" t="s">
        <v>610</v>
      </c>
      <c r="AZ37" s="268" t="s">
        <v>610</v>
      </c>
    </row>
    <row r="38" spans="1:52" s="24" customFormat="1" ht="16.5" thickBot="1">
      <c r="A38" s="860"/>
      <c r="B38" s="953" t="s">
        <v>1417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>
        <v>100</v>
      </c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126"/>
      <c r="AV38" s="126" t="s">
        <v>610</v>
      </c>
      <c r="AW38" s="126" t="s">
        <v>610</v>
      </c>
      <c r="AX38" s="126" t="s">
        <v>610</v>
      </c>
      <c r="AY38" s="126" t="s">
        <v>610</v>
      </c>
      <c r="AZ38" s="268" t="s">
        <v>610</v>
      </c>
    </row>
    <row r="39" spans="1:52" s="1" customFormat="1" ht="16.5" thickBot="1">
      <c r="A39" s="122"/>
      <c r="B39" s="1405" t="s">
        <v>14</v>
      </c>
      <c r="C39" s="1405"/>
      <c r="D39" s="269">
        <f>SUM(D28:D38)</f>
        <v>10</v>
      </c>
      <c r="E39" s="269">
        <f aca="true" t="shared" si="1" ref="E39:AU39">SUM(E28:E38)</f>
        <v>0</v>
      </c>
      <c r="F39" s="269">
        <f t="shared" si="1"/>
        <v>10</v>
      </c>
      <c r="G39" s="269">
        <f t="shared" si="1"/>
        <v>27.5</v>
      </c>
      <c r="H39" s="269">
        <f t="shared" si="1"/>
        <v>0</v>
      </c>
      <c r="I39" s="269">
        <f t="shared" si="1"/>
        <v>0</v>
      </c>
      <c r="J39" s="269">
        <f t="shared" si="1"/>
        <v>20</v>
      </c>
      <c r="K39" s="269">
        <f t="shared" si="1"/>
        <v>2.5</v>
      </c>
      <c r="L39" s="269">
        <f t="shared" si="1"/>
        <v>5</v>
      </c>
      <c r="M39" s="269">
        <f t="shared" si="1"/>
        <v>5</v>
      </c>
      <c r="N39" s="269">
        <f t="shared" si="1"/>
        <v>0</v>
      </c>
      <c r="O39" s="269">
        <f t="shared" si="1"/>
        <v>5.38</v>
      </c>
      <c r="P39" s="269">
        <f t="shared" si="1"/>
        <v>0</v>
      </c>
      <c r="Q39" s="269">
        <f t="shared" si="1"/>
        <v>0</v>
      </c>
      <c r="R39" s="269">
        <f t="shared" si="1"/>
        <v>0</v>
      </c>
      <c r="S39" s="269">
        <f t="shared" si="1"/>
        <v>0</v>
      </c>
      <c r="T39" s="269">
        <f t="shared" si="1"/>
        <v>120</v>
      </c>
      <c r="U39" s="269">
        <f t="shared" si="1"/>
        <v>88</v>
      </c>
      <c r="V39" s="269">
        <f t="shared" si="1"/>
        <v>590</v>
      </c>
      <c r="W39" s="269">
        <f t="shared" si="1"/>
        <v>152.07999999999998</v>
      </c>
      <c r="X39" s="269">
        <f t="shared" si="1"/>
        <v>100</v>
      </c>
      <c r="Y39" s="269">
        <f t="shared" si="1"/>
        <v>0</v>
      </c>
      <c r="Z39" s="269">
        <f t="shared" si="1"/>
        <v>0</v>
      </c>
      <c r="AA39" s="269">
        <f t="shared" si="1"/>
        <v>0</v>
      </c>
      <c r="AB39" s="269">
        <f t="shared" si="1"/>
        <v>5</v>
      </c>
      <c r="AC39" s="269">
        <f t="shared" si="1"/>
        <v>0</v>
      </c>
      <c r="AD39" s="269">
        <f t="shared" si="1"/>
        <v>0</v>
      </c>
      <c r="AE39" s="269">
        <f t="shared" si="1"/>
        <v>0</v>
      </c>
      <c r="AF39" s="269">
        <f t="shared" si="1"/>
        <v>0</v>
      </c>
      <c r="AG39" s="269">
        <f t="shared" si="1"/>
        <v>0</v>
      </c>
      <c r="AH39" s="269">
        <f t="shared" si="1"/>
        <v>1100</v>
      </c>
      <c r="AI39" s="269">
        <f t="shared" si="1"/>
        <v>39.45</v>
      </c>
      <c r="AJ39" s="269">
        <f t="shared" si="1"/>
        <v>0</v>
      </c>
      <c r="AK39" s="269">
        <f t="shared" si="1"/>
        <v>0</v>
      </c>
      <c r="AL39" s="269">
        <f t="shared" si="1"/>
        <v>0</v>
      </c>
      <c r="AM39" s="269">
        <f t="shared" si="1"/>
        <v>0</v>
      </c>
      <c r="AN39" s="269">
        <f t="shared" si="1"/>
        <v>10</v>
      </c>
      <c r="AO39" s="269">
        <f t="shared" si="1"/>
        <v>0</v>
      </c>
      <c r="AP39" s="269">
        <f t="shared" si="1"/>
        <v>330</v>
      </c>
      <c r="AQ39" s="269">
        <f t="shared" si="1"/>
        <v>54.379999999999995</v>
      </c>
      <c r="AR39" s="269">
        <f t="shared" si="1"/>
        <v>3600</v>
      </c>
      <c r="AS39" s="269">
        <f t="shared" si="1"/>
        <v>0</v>
      </c>
      <c r="AT39" s="269">
        <f t="shared" si="1"/>
        <v>1202</v>
      </c>
      <c r="AU39" s="269">
        <f t="shared" si="1"/>
        <v>385.5</v>
      </c>
      <c r="AV39" s="125"/>
      <c r="AW39" s="125"/>
      <c r="AX39" s="125"/>
      <c r="AY39" s="125"/>
      <c r="AZ39" s="954"/>
    </row>
    <row r="40" spans="1:52" ht="16.5" thickBot="1">
      <c r="A40" s="122"/>
      <c r="B40" s="1405" t="s">
        <v>90</v>
      </c>
      <c r="C40" s="1405"/>
      <c r="D40" s="165">
        <f>SUM(D27,D39)</f>
        <v>1300</v>
      </c>
      <c r="E40" s="165">
        <f aca="true" t="shared" si="2" ref="E40:AU40">SUM(E27,E39)</f>
        <v>0</v>
      </c>
      <c r="F40" s="165">
        <f t="shared" si="2"/>
        <v>1540</v>
      </c>
      <c r="G40" s="165">
        <f t="shared" si="2"/>
        <v>44.95</v>
      </c>
      <c r="H40" s="165">
        <f t="shared" si="2"/>
        <v>0</v>
      </c>
      <c r="I40" s="165">
        <f t="shared" si="2"/>
        <v>0</v>
      </c>
      <c r="J40" s="165">
        <f t="shared" si="2"/>
        <v>65</v>
      </c>
      <c r="K40" s="165">
        <f t="shared" si="2"/>
        <v>3.5</v>
      </c>
      <c r="L40" s="165">
        <f t="shared" si="2"/>
        <v>248</v>
      </c>
      <c r="M40" s="165">
        <f t="shared" si="2"/>
        <v>147</v>
      </c>
      <c r="N40" s="165">
        <f t="shared" si="2"/>
        <v>250</v>
      </c>
      <c r="O40" s="165">
        <f t="shared" si="2"/>
        <v>36.68</v>
      </c>
      <c r="P40" s="165">
        <f t="shared" si="2"/>
        <v>1346</v>
      </c>
      <c r="Q40" s="165">
        <f t="shared" si="2"/>
        <v>284</v>
      </c>
      <c r="R40" s="165">
        <f t="shared" si="2"/>
        <v>575</v>
      </c>
      <c r="S40" s="165">
        <f t="shared" si="2"/>
        <v>28.93</v>
      </c>
      <c r="T40" s="165">
        <f t="shared" si="2"/>
        <v>360</v>
      </c>
      <c r="U40" s="165">
        <f t="shared" si="2"/>
        <v>188</v>
      </c>
      <c r="V40" s="165">
        <f t="shared" si="2"/>
        <v>1490</v>
      </c>
      <c r="W40" s="165">
        <f t="shared" si="2"/>
        <v>168.07999999999998</v>
      </c>
      <c r="X40" s="165">
        <f t="shared" si="2"/>
        <v>440</v>
      </c>
      <c r="Y40" s="165">
        <f t="shared" si="2"/>
        <v>0</v>
      </c>
      <c r="Z40" s="165">
        <f t="shared" si="2"/>
        <v>240</v>
      </c>
      <c r="AA40" s="165">
        <f t="shared" si="2"/>
        <v>6.55</v>
      </c>
      <c r="AB40" s="165">
        <f t="shared" si="2"/>
        <v>1550</v>
      </c>
      <c r="AC40" s="165">
        <f t="shared" si="2"/>
        <v>879</v>
      </c>
      <c r="AD40" s="165">
        <f t="shared" si="2"/>
        <v>1800</v>
      </c>
      <c r="AE40" s="165">
        <f t="shared" si="2"/>
        <v>272.71999999999997</v>
      </c>
      <c r="AF40" s="165">
        <f t="shared" si="2"/>
        <v>1330</v>
      </c>
      <c r="AG40" s="165">
        <f t="shared" si="2"/>
        <v>658</v>
      </c>
      <c r="AH40" s="165">
        <f t="shared" si="2"/>
        <v>2220</v>
      </c>
      <c r="AI40" s="165">
        <f t="shared" si="2"/>
        <v>168.89</v>
      </c>
      <c r="AJ40" s="165">
        <f t="shared" si="2"/>
        <v>5730</v>
      </c>
      <c r="AK40" s="165">
        <f t="shared" si="2"/>
        <v>1816</v>
      </c>
      <c r="AL40" s="165">
        <f t="shared" si="2"/>
        <v>4800</v>
      </c>
      <c r="AM40" s="165">
        <f t="shared" si="2"/>
        <v>204.55</v>
      </c>
      <c r="AN40" s="165">
        <f t="shared" si="2"/>
        <v>20</v>
      </c>
      <c r="AO40" s="165">
        <f t="shared" si="2"/>
        <v>150</v>
      </c>
      <c r="AP40" s="165">
        <f t="shared" si="2"/>
        <v>2648.75</v>
      </c>
      <c r="AQ40" s="165">
        <f t="shared" si="2"/>
        <v>218.57999999999998</v>
      </c>
      <c r="AR40" s="165">
        <f t="shared" si="2"/>
        <v>3600</v>
      </c>
      <c r="AS40" s="165">
        <f t="shared" si="2"/>
        <v>0</v>
      </c>
      <c r="AT40" s="165">
        <f t="shared" si="2"/>
        <v>1202</v>
      </c>
      <c r="AU40" s="165">
        <f t="shared" si="2"/>
        <v>520.3</v>
      </c>
      <c r="AV40" s="165"/>
      <c r="AW40" s="165"/>
      <c r="AX40" s="165"/>
      <c r="AY40" s="165"/>
      <c r="AZ40" s="124"/>
    </row>
    <row r="41" spans="1:52" s="8" customFormat="1" ht="18" customHeight="1">
      <c r="A41" s="27"/>
      <c r="B41" s="190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</row>
    <row r="42" spans="44:47" ht="18" customHeight="1">
      <c r="AR42" s="17"/>
      <c r="AS42" s="17"/>
      <c r="AT42" s="17"/>
      <c r="AU42" s="17"/>
    </row>
    <row r="43" spans="44:47" ht="18" customHeight="1">
      <c r="AR43" s="17"/>
      <c r="AS43" s="17"/>
      <c r="AT43" s="17"/>
      <c r="AU43" s="17"/>
    </row>
    <row r="44" spans="44:47" ht="18" customHeight="1">
      <c r="AR44" s="17"/>
      <c r="AS44" s="17"/>
      <c r="AT44" s="17"/>
      <c r="AU44" s="17"/>
    </row>
    <row r="45" spans="44:47" ht="18" customHeight="1">
      <c r="AR45" s="17"/>
      <c r="AS45" s="17"/>
      <c r="AT45" s="17"/>
      <c r="AU45" s="17"/>
    </row>
    <row r="46" spans="44:47" ht="18" customHeight="1">
      <c r="AR46" s="17"/>
      <c r="AS46" s="17"/>
      <c r="AT46" s="17"/>
      <c r="AU46" s="17"/>
    </row>
    <row r="47" spans="44:47" ht="18" customHeight="1">
      <c r="AR47" s="17"/>
      <c r="AS47" s="17"/>
      <c r="AT47" s="17"/>
      <c r="AU47" s="17"/>
    </row>
    <row r="48" spans="44:47" ht="18" customHeight="1">
      <c r="AR48" s="17"/>
      <c r="AS48" s="17"/>
      <c r="AT48" s="17"/>
      <c r="AU48" s="17"/>
    </row>
    <row r="49" spans="44:47" ht="18" customHeight="1">
      <c r="AR49" s="17"/>
      <c r="AS49" s="17"/>
      <c r="AT49" s="17"/>
      <c r="AU49" s="17"/>
    </row>
    <row r="50" spans="44:47" ht="18" customHeight="1">
      <c r="AR50" s="17"/>
      <c r="AS50" s="17"/>
      <c r="AT50" s="17"/>
      <c r="AU50" s="17"/>
    </row>
    <row r="51" spans="44:47" ht="18" customHeight="1">
      <c r="AR51" s="17"/>
      <c r="AS51" s="17"/>
      <c r="AT51" s="17"/>
      <c r="AU51" s="17"/>
    </row>
    <row r="52" spans="44:47" ht="18" customHeight="1">
      <c r="AR52" s="17"/>
      <c r="AS52" s="17"/>
      <c r="AT52" s="17"/>
      <c r="AU52" s="17"/>
    </row>
    <row r="53" spans="44:47" ht="18" customHeight="1">
      <c r="AR53" s="17"/>
      <c r="AS53" s="17"/>
      <c r="AT53" s="17"/>
      <c r="AU53" s="17"/>
    </row>
    <row r="54" spans="44:47" ht="18" customHeight="1">
      <c r="AR54" s="17"/>
      <c r="AS54" s="17"/>
      <c r="AT54" s="17"/>
      <c r="AU54" s="17"/>
    </row>
    <row r="55" spans="44:47" ht="18" customHeight="1">
      <c r="AR55" s="17"/>
      <c r="AS55" s="17"/>
      <c r="AT55" s="17"/>
      <c r="AU55" s="17"/>
    </row>
    <row r="56" spans="44:47" ht="18" customHeight="1">
      <c r="AR56" s="17"/>
      <c r="AS56" s="17"/>
      <c r="AT56" s="17"/>
      <c r="AU56" s="17"/>
    </row>
    <row r="57" spans="44:47" ht="18" customHeight="1">
      <c r="AR57" s="17"/>
      <c r="AS57" s="17"/>
      <c r="AT57" s="17"/>
      <c r="AU57" s="17"/>
    </row>
    <row r="58" spans="44:47" ht="18" customHeight="1">
      <c r="AR58" s="17"/>
      <c r="AS58" s="17"/>
      <c r="AT58" s="17"/>
      <c r="AU58" s="17"/>
    </row>
    <row r="59" spans="44:47" ht="18" customHeight="1">
      <c r="AR59" s="17"/>
      <c r="AS59" s="17"/>
      <c r="AT59" s="17"/>
      <c r="AU59" s="17"/>
    </row>
    <row r="60" spans="44:47" ht="18" customHeight="1">
      <c r="AR60" s="17"/>
      <c r="AS60" s="17"/>
      <c r="AT60" s="17"/>
      <c r="AU60" s="17"/>
    </row>
    <row r="61" spans="44:47" ht="18" customHeight="1">
      <c r="AR61" s="17"/>
      <c r="AS61" s="17"/>
      <c r="AT61" s="17"/>
      <c r="AU61" s="17"/>
    </row>
    <row r="62" spans="44:47" ht="18" customHeight="1">
      <c r="AR62" s="17"/>
      <c r="AS62" s="17"/>
      <c r="AT62" s="17"/>
      <c r="AU62" s="17"/>
    </row>
    <row r="63" spans="44:47" ht="18" customHeight="1">
      <c r="AR63" s="17"/>
      <c r="AS63" s="17"/>
      <c r="AT63" s="17"/>
      <c r="AU63" s="17"/>
    </row>
    <row r="64" spans="44:47" ht="18" customHeight="1">
      <c r="AR64" s="17"/>
      <c r="AS64" s="17"/>
      <c r="AT64" s="17"/>
      <c r="AU64" s="17"/>
    </row>
    <row r="65" spans="44:47" ht="18" customHeight="1">
      <c r="AR65" s="17"/>
      <c r="AS65" s="17"/>
      <c r="AT65" s="17"/>
      <c r="AU65" s="17"/>
    </row>
    <row r="66" spans="44:47" ht="18" customHeight="1">
      <c r="AR66" s="17"/>
      <c r="AS66" s="17"/>
      <c r="AT66" s="17"/>
      <c r="AU66" s="17"/>
    </row>
    <row r="67" spans="44:47" ht="18" customHeight="1">
      <c r="AR67" s="17"/>
      <c r="AS67" s="17"/>
      <c r="AT67" s="17"/>
      <c r="AU67" s="17"/>
    </row>
    <row r="68" spans="44:47" ht="18" customHeight="1">
      <c r="AR68" s="17"/>
      <c r="AS68" s="17"/>
      <c r="AT68" s="17"/>
      <c r="AU68" s="17"/>
    </row>
    <row r="69" spans="44:47" ht="18" customHeight="1">
      <c r="AR69" s="17"/>
      <c r="AS69" s="17"/>
      <c r="AT69" s="17"/>
      <c r="AU69" s="17"/>
    </row>
    <row r="70" spans="44:47" ht="18" customHeight="1">
      <c r="AR70" s="17"/>
      <c r="AS70" s="17"/>
      <c r="AT70" s="17"/>
      <c r="AU70" s="17"/>
    </row>
    <row r="71" spans="44:47" ht="18" customHeight="1">
      <c r="AR71" s="17"/>
      <c r="AS71" s="17"/>
      <c r="AT71" s="17"/>
      <c r="AU71" s="17"/>
    </row>
    <row r="72" spans="44:47" ht="18" customHeight="1">
      <c r="AR72" s="17"/>
      <c r="AS72" s="17"/>
      <c r="AT72" s="17"/>
      <c r="AU72" s="17"/>
    </row>
    <row r="73" spans="44:47" ht="18" customHeight="1">
      <c r="AR73" s="17"/>
      <c r="AS73" s="17"/>
      <c r="AT73" s="17"/>
      <c r="AU73" s="17"/>
    </row>
    <row r="74" spans="44:47" ht="18" customHeight="1">
      <c r="AR74" s="17"/>
      <c r="AS74" s="17"/>
      <c r="AT74" s="17"/>
      <c r="AU74" s="17"/>
    </row>
    <row r="75" spans="44:47" ht="18" customHeight="1">
      <c r="AR75" s="17"/>
      <c r="AS75" s="17"/>
      <c r="AT75" s="17"/>
      <c r="AU75" s="17"/>
    </row>
  </sheetData>
  <sheetProtection/>
  <mergeCells count="62">
    <mergeCell ref="B39:C39"/>
    <mergeCell ref="B40:C40"/>
    <mergeCell ref="B10:B11"/>
    <mergeCell ref="A18:A21"/>
    <mergeCell ref="AM18:AM21"/>
    <mergeCell ref="AX18:AX21"/>
    <mergeCell ref="S24:S25"/>
    <mergeCell ref="B27:C27"/>
    <mergeCell ref="AZ4:AZ5"/>
    <mergeCell ref="A8:A15"/>
    <mergeCell ref="H8:H15"/>
    <mergeCell ref="I8:I15"/>
    <mergeCell ref="J8:J15"/>
    <mergeCell ref="K8:K15"/>
    <mergeCell ref="P8:P15"/>
    <mergeCell ref="Q8:Q15"/>
    <mergeCell ref="R8:R15"/>
    <mergeCell ref="S8:S15"/>
    <mergeCell ref="AR4:AS4"/>
    <mergeCell ref="AT4:AU4"/>
    <mergeCell ref="AV4:AV5"/>
    <mergeCell ref="AW4:AW5"/>
    <mergeCell ref="AX4:AX5"/>
    <mergeCell ref="AY4:AY5"/>
    <mergeCell ref="AF4:AG4"/>
    <mergeCell ref="AH4:AI4"/>
    <mergeCell ref="AJ4:AK4"/>
    <mergeCell ref="AL4:AM4"/>
    <mergeCell ref="AN4:AO4"/>
    <mergeCell ref="AP4:AQ4"/>
    <mergeCell ref="T4:U4"/>
    <mergeCell ref="V4:W4"/>
    <mergeCell ref="X4:Y4"/>
    <mergeCell ref="Z4:AA4"/>
    <mergeCell ref="AB4:AC4"/>
    <mergeCell ref="AD4:AE4"/>
    <mergeCell ref="H4:I4"/>
    <mergeCell ref="J4:K4"/>
    <mergeCell ref="L4:M4"/>
    <mergeCell ref="N4:O4"/>
    <mergeCell ref="P4:Q4"/>
    <mergeCell ref="R4:S4"/>
    <mergeCell ref="AF3:AI3"/>
    <mergeCell ref="AJ3:AM3"/>
    <mergeCell ref="AN3:AQ3"/>
    <mergeCell ref="AR3:AU3"/>
    <mergeCell ref="AV3:AY3"/>
    <mergeCell ref="A4:A5"/>
    <mergeCell ref="B4:B5"/>
    <mergeCell ref="C4:C5"/>
    <mergeCell ref="D4:E4"/>
    <mergeCell ref="F4:G4"/>
    <mergeCell ref="A1:AZ1"/>
    <mergeCell ref="A2:AZ2"/>
    <mergeCell ref="A3:C3"/>
    <mergeCell ref="D3:G3"/>
    <mergeCell ref="H3:K3"/>
    <mergeCell ref="L3:O3"/>
    <mergeCell ref="P3:S3"/>
    <mergeCell ref="T3:W3"/>
    <mergeCell ref="X3:AA3"/>
    <mergeCell ref="AB3:AE3"/>
  </mergeCells>
  <printOptions/>
  <pageMargins left="0.7" right="0.7" top="0.75" bottom="0.75" header="0.3" footer="0.3"/>
  <pageSetup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J61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9" sqref="G9"/>
    </sheetView>
  </sheetViews>
  <sheetFormatPr defaultColWidth="9.140625" defaultRowHeight="18" customHeight="1"/>
  <cols>
    <col min="1" max="1" width="13.140625" style="4" customWidth="1"/>
    <col min="2" max="2" width="34.7109375" style="18" customWidth="1"/>
    <col min="3" max="3" width="22.28125" style="10" customWidth="1"/>
    <col min="4" max="6" width="6.7109375" style="10" customWidth="1"/>
    <col min="7" max="7" width="7.7109375" style="10" customWidth="1"/>
    <col min="8" max="31" width="6.7109375" style="10" customWidth="1"/>
    <col min="32" max="32" width="15.57421875" style="4" customWidth="1"/>
    <col min="33" max="33" width="16.57421875" style="4" customWidth="1"/>
    <col min="34" max="34" width="29.7109375" style="4" customWidth="1"/>
    <col min="35" max="35" width="14.57421875" style="4" customWidth="1"/>
    <col min="36" max="36" width="22.8515625" style="4" customWidth="1"/>
    <col min="37" max="16384" width="9.140625" style="4" customWidth="1"/>
  </cols>
  <sheetData>
    <row r="1" spans="1:36" ht="28.5" customHeight="1" thickBot="1">
      <c r="A1" s="1424" t="s">
        <v>82</v>
      </c>
      <c r="B1" s="1425"/>
      <c r="C1" s="1425"/>
      <c r="D1" s="1425"/>
      <c r="E1" s="1425"/>
      <c r="F1" s="1425"/>
      <c r="G1" s="1425"/>
      <c r="H1" s="1425"/>
      <c r="I1" s="1425"/>
      <c r="J1" s="1425"/>
      <c r="K1" s="1425"/>
      <c r="L1" s="1425"/>
      <c r="M1" s="1425"/>
      <c r="N1" s="1425"/>
      <c r="O1" s="1425"/>
      <c r="P1" s="1425"/>
      <c r="Q1" s="1425"/>
      <c r="R1" s="1425"/>
      <c r="S1" s="1425"/>
      <c r="T1" s="1425"/>
      <c r="U1" s="1425"/>
      <c r="V1" s="1425"/>
      <c r="W1" s="1425"/>
      <c r="X1" s="1425"/>
      <c r="Y1" s="1425"/>
      <c r="Z1" s="1425"/>
      <c r="AA1" s="1425"/>
      <c r="AB1" s="1425"/>
      <c r="AC1" s="1425"/>
      <c r="AD1" s="1425"/>
      <c r="AE1" s="1425"/>
      <c r="AF1" s="1425"/>
      <c r="AG1" s="1425"/>
      <c r="AH1" s="1425"/>
      <c r="AI1" s="1425"/>
      <c r="AJ1" s="1426"/>
    </row>
    <row r="2" spans="1:36" ht="22.5" customHeight="1" thickBot="1">
      <c r="A2" s="1317" t="s">
        <v>550</v>
      </c>
      <c r="B2" s="1318"/>
      <c r="C2" s="1318"/>
      <c r="D2" s="1318"/>
      <c r="E2" s="1318"/>
      <c r="F2" s="1318"/>
      <c r="G2" s="1318"/>
      <c r="H2" s="1318"/>
      <c r="I2" s="1318"/>
      <c r="J2" s="1318"/>
      <c r="K2" s="1318"/>
      <c r="L2" s="1318"/>
      <c r="M2" s="1318"/>
      <c r="N2" s="1318"/>
      <c r="O2" s="1318"/>
      <c r="P2" s="1318"/>
      <c r="Q2" s="1318"/>
      <c r="R2" s="1318"/>
      <c r="S2" s="1318"/>
      <c r="T2" s="1318"/>
      <c r="U2" s="1318"/>
      <c r="V2" s="1318"/>
      <c r="W2" s="1318"/>
      <c r="X2" s="1318"/>
      <c r="Y2" s="1318"/>
      <c r="Z2" s="1318"/>
      <c r="AA2" s="1318"/>
      <c r="AB2" s="1318"/>
      <c r="AC2" s="1318"/>
      <c r="AD2" s="1318"/>
      <c r="AE2" s="1318"/>
      <c r="AF2" s="1318"/>
      <c r="AG2" s="1318"/>
      <c r="AH2" s="1318"/>
      <c r="AI2" s="1318"/>
      <c r="AJ2" s="1319"/>
    </row>
    <row r="3" spans="1:36" ht="16.5" thickBot="1">
      <c r="A3" s="1404"/>
      <c r="B3" s="1399"/>
      <c r="C3" s="1399"/>
      <c r="D3" s="1398" t="s">
        <v>1073</v>
      </c>
      <c r="E3" s="1399"/>
      <c r="F3" s="1399"/>
      <c r="G3" s="1400"/>
      <c r="H3" s="1398" t="s">
        <v>1074</v>
      </c>
      <c r="I3" s="1399"/>
      <c r="J3" s="1399"/>
      <c r="K3" s="1400"/>
      <c r="L3" s="1398" t="s">
        <v>1075</v>
      </c>
      <c r="M3" s="1399"/>
      <c r="N3" s="1399"/>
      <c r="O3" s="1400"/>
      <c r="P3" s="1398" t="s">
        <v>1076</v>
      </c>
      <c r="Q3" s="1399"/>
      <c r="R3" s="1399"/>
      <c r="S3" s="1400"/>
      <c r="T3" s="1398" t="s">
        <v>1077</v>
      </c>
      <c r="U3" s="1399"/>
      <c r="V3" s="1399"/>
      <c r="W3" s="1400"/>
      <c r="X3" s="1398" t="s">
        <v>1078</v>
      </c>
      <c r="Y3" s="1399"/>
      <c r="Z3" s="1399"/>
      <c r="AA3" s="1400"/>
      <c r="AB3" s="1398" t="s">
        <v>1079</v>
      </c>
      <c r="AC3" s="1399"/>
      <c r="AD3" s="1399"/>
      <c r="AE3" s="1400"/>
      <c r="AF3" s="1140"/>
      <c r="AG3" s="1141"/>
      <c r="AH3" s="1141"/>
      <c r="AI3" s="1141"/>
      <c r="AJ3" s="1294"/>
    </row>
    <row r="4" spans="1:36" ht="18" customHeight="1">
      <c r="A4" s="1413" t="s">
        <v>116</v>
      </c>
      <c r="B4" s="1414" t="s">
        <v>2</v>
      </c>
      <c r="C4" s="1414" t="s">
        <v>3</v>
      </c>
      <c r="D4" s="1397" t="s">
        <v>112</v>
      </c>
      <c r="E4" s="1397"/>
      <c r="F4" s="1397" t="s">
        <v>113</v>
      </c>
      <c r="G4" s="1397"/>
      <c r="H4" s="1397" t="s">
        <v>112</v>
      </c>
      <c r="I4" s="1397"/>
      <c r="J4" s="1397" t="s">
        <v>113</v>
      </c>
      <c r="K4" s="1397"/>
      <c r="L4" s="1397" t="s">
        <v>112</v>
      </c>
      <c r="M4" s="1397"/>
      <c r="N4" s="1397" t="s">
        <v>113</v>
      </c>
      <c r="O4" s="1397"/>
      <c r="P4" s="1397" t="s">
        <v>112</v>
      </c>
      <c r="Q4" s="1397"/>
      <c r="R4" s="1397" t="s">
        <v>113</v>
      </c>
      <c r="S4" s="1397"/>
      <c r="T4" s="1397" t="s">
        <v>112</v>
      </c>
      <c r="U4" s="1397"/>
      <c r="V4" s="1397" t="s">
        <v>113</v>
      </c>
      <c r="W4" s="1397"/>
      <c r="X4" s="1397" t="s">
        <v>112</v>
      </c>
      <c r="Y4" s="1397"/>
      <c r="Z4" s="1397" t="s">
        <v>113</v>
      </c>
      <c r="AA4" s="1397"/>
      <c r="AB4" s="1397" t="s">
        <v>112</v>
      </c>
      <c r="AC4" s="1397"/>
      <c r="AD4" s="1397" t="s">
        <v>113</v>
      </c>
      <c r="AE4" s="1397"/>
      <c r="AF4" s="1397" t="s">
        <v>4</v>
      </c>
      <c r="AG4" s="1397" t="s">
        <v>855</v>
      </c>
      <c r="AH4" s="1416" t="s">
        <v>5</v>
      </c>
      <c r="AI4" s="1416" t="s">
        <v>83</v>
      </c>
      <c r="AJ4" s="1422" t="s">
        <v>84</v>
      </c>
    </row>
    <row r="5" spans="1:36" ht="97.5" customHeight="1" thickBot="1">
      <c r="A5" s="1272"/>
      <c r="B5" s="1415"/>
      <c r="C5" s="1415"/>
      <c r="D5" s="25" t="s">
        <v>6</v>
      </c>
      <c r="E5" s="25" t="s">
        <v>7</v>
      </c>
      <c r="F5" s="25" t="s">
        <v>6</v>
      </c>
      <c r="G5" s="25" t="s">
        <v>96</v>
      </c>
      <c r="H5" s="25" t="s">
        <v>6</v>
      </c>
      <c r="I5" s="25" t="s">
        <v>7</v>
      </c>
      <c r="J5" s="25" t="s">
        <v>6</v>
      </c>
      <c r="K5" s="25" t="s">
        <v>96</v>
      </c>
      <c r="L5" s="25" t="s">
        <v>6</v>
      </c>
      <c r="M5" s="25" t="s">
        <v>7</v>
      </c>
      <c r="N5" s="25" t="s">
        <v>6</v>
      </c>
      <c r="O5" s="25" t="s">
        <v>96</v>
      </c>
      <c r="P5" s="25" t="s">
        <v>6</v>
      </c>
      <c r="Q5" s="25" t="s">
        <v>7</v>
      </c>
      <c r="R5" s="25" t="s">
        <v>6</v>
      </c>
      <c r="S5" s="25" t="s">
        <v>96</v>
      </c>
      <c r="T5" s="25" t="s">
        <v>6</v>
      </c>
      <c r="U5" s="25" t="s">
        <v>7</v>
      </c>
      <c r="V5" s="25" t="s">
        <v>6</v>
      </c>
      <c r="W5" s="25" t="s">
        <v>96</v>
      </c>
      <c r="X5" s="25" t="s">
        <v>6</v>
      </c>
      <c r="Y5" s="25" t="s">
        <v>7</v>
      </c>
      <c r="Z5" s="25" t="s">
        <v>6</v>
      </c>
      <c r="AA5" s="25" t="s">
        <v>96</v>
      </c>
      <c r="AB5" s="25" t="s">
        <v>6</v>
      </c>
      <c r="AC5" s="25" t="s">
        <v>7</v>
      </c>
      <c r="AD5" s="25" t="s">
        <v>6</v>
      </c>
      <c r="AE5" s="25" t="s">
        <v>96</v>
      </c>
      <c r="AF5" s="1118"/>
      <c r="AG5" s="1118"/>
      <c r="AH5" s="1417"/>
      <c r="AI5" s="1417"/>
      <c r="AJ5" s="1423"/>
    </row>
    <row r="6" spans="1:36" s="8" customFormat="1" ht="15.75">
      <c r="A6" s="1436" t="s">
        <v>220</v>
      </c>
      <c r="B6" s="33" t="s">
        <v>627</v>
      </c>
      <c r="C6" s="103" t="s">
        <v>665</v>
      </c>
      <c r="D6" s="955"/>
      <c r="E6" s="955"/>
      <c r="F6" s="955"/>
      <c r="G6" s="955"/>
      <c r="H6" s="955"/>
      <c r="I6" s="955"/>
      <c r="J6" s="955"/>
      <c r="K6" s="955"/>
      <c r="L6" s="955"/>
      <c r="M6" s="955"/>
      <c r="N6" s="955"/>
      <c r="O6" s="955"/>
      <c r="P6" s="955"/>
      <c r="Q6" s="955"/>
      <c r="R6" s="955"/>
      <c r="S6" s="955"/>
      <c r="T6" s="955"/>
      <c r="U6" s="955"/>
      <c r="V6" s="955"/>
      <c r="W6" s="955"/>
      <c r="X6" s="955"/>
      <c r="Y6" s="955"/>
      <c r="Z6" s="955"/>
      <c r="AA6" s="955"/>
      <c r="AB6" s="955"/>
      <c r="AC6" s="955"/>
      <c r="AD6" s="955"/>
      <c r="AE6" s="955"/>
      <c r="AF6" s="88" t="s">
        <v>73</v>
      </c>
      <c r="AG6" s="88" t="s">
        <v>862</v>
      </c>
      <c r="AH6" s="2" t="s">
        <v>1086</v>
      </c>
      <c r="AI6" s="88" t="s">
        <v>306</v>
      </c>
      <c r="AJ6" s="123" t="s">
        <v>372</v>
      </c>
    </row>
    <row r="7" spans="1:36" s="8" customFormat="1" ht="18" customHeight="1">
      <c r="A7" s="1437"/>
      <c r="B7" s="1145" t="s">
        <v>1389</v>
      </c>
      <c r="C7" s="103" t="s">
        <v>563</v>
      </c>
      <c r="D7" s="195"/>
      <c r="E7" s="195"/>
      <c r="F7" s="684"/>
      <c r="G7" s="684"/>
      <c r="H7" s="684"/>
      <c r="I7" s="684"/>
      <c r="J7" s="684"/>
      <c r="K7" s="684"/>
      <c r="L7" s="684"/>
      <c r="M7" s="684"/>
      <c r="N7" s="684"/>
      <c r="O7" s="684"/>
      <c r="P7" s="684"/>
      <c r="Q7" s="684"/>
      <c r="R7" s="684"/>
      <c r="S7" s="684"/>
      <c r="T7" s="684"/>
      <c r="U7" s="684"/>
      <c r="V7" s="684"/>
      <c r="W7" s="684"/>
      <c r="X7" s="684"/>
      <c r="Y7" s="684"/>
      <c r="Z7" s="1439">
        <v>2</v>
      </c>
      <c r="AA7" s="1439">
        <v>2</v>
      </c>
      <c r="AB7" s="361"/>
      <c r="AC7" s="361"/>
      <c r="AD7" s="361"/>
      <c r="AE7" s="361"/>
      <c r="AF7" s="68" t="s">
        <v>69</v>
      </c>
      <c r="AG7" s="88" t="s">
        <v>862</v>
      </c>
      <c r="AH7" s="145" t="s">
        <v>1086</v>
      </c>
      <c r="AI7" s="68" t="s">
        <v>610</v>
      </c>
      <c r="AJ7" s="121" t="s">
        <v>306</v>
      </c>
    </row>
    <row r="8" spans="1:36" s="8" customFormat="1" ht="22.5" customHeight="1">
      <c r="A8" s="1437"/>
      <c r="B8" s="1147"/>
      <c r="C8" s="103" t="s">
        <v>1390</v>
      </c>
      <c r="D8" s="684"/>
      <c r="E8" s="684"/>
      <c r="F8" s="684"/>
      <c r="G8" s="684"/>
      <c r="H8" s="684"/>
      <c r="I8" s="684"/>
      <c r="J8" s="684"/>
      <c r="K8" s="684"/>
      <c r="L8" s="684"/>
      <c r="M8" s="684"/>
      <c r="N8" s="684"/>
      <c r="O8" s="684"/>
      <c r="P8" s="684"/>
      <c r="Q8" s="684"/>
      <c r="R8" s="684"/>
      <c r="S8" s="684"/>
      <c r="T8" s="684"/>
      <c r="U8" s="684"/>
      <c r="V8" s="684"/>
      <c r="W8" s="684"/>
      <c r="X8" s="684"/>
      <c r="Y8" s="684"/>
      <c r="Z8" s="1402"/>
      <c r="AA8" s="1402"/>
      <c r="AB8" s="412"/>
      <c r="AC8" s="412"/>
      <c r="AD8" s="412"/>
      <c r="AE8" s="412"/>
      <c r="AF8" s="68" t="s">
        <v>69</v>
      </c>
      <c r="AG8" s="88" t="s">
        <v>862</v>
      </c>
      <c r="AH8" s="145" t="s">
        <v>1086</v>
      </c>
      <c r="AI8" s="68" t="s">
        <v>610</v>
      </c>
      <c r="AJ8" s="121" t="s">
        <v>306</v>
      </c>
    </row>
    <row r="9" spans="1:36" s="8" customFormat="1" ht="44.25" customHeight="1">
      <c r="A9" s="1437"/>
      <c r="B9" s="33" t="s">
        <v>1391</v>
      </c>
      <c r="C9" s="684" t="s">
        <v>1392</v>
      </c>
      <c r="D9" s="684"/>
      <c r="E9" s="684"/>
      <c r="F9" s="684"/>
      <c r="G9" s="684"/>
      <c r="H9" s="684"/>
      <c r="I9" s="684"/>
      <c r="J9" s="684"/>
      <c r="K9" s="684"/>
      <c r="L9" s="684"/>
      <c r="M9" s="684"/>
      <c r="N9" s="684"/>
      <c r="O9" s="684"/>
      <c r="P9" s="684"/>
      <c r="Q9" s="684"/>
      <c r="R9" s="684"/>
      <c r="S9" s="684"/>
      <c r="T9" s="684"/>
      <c r="U9" s="684"/>
      <c r="V9" s="684"/>
      <c r="W9" s="684"/>
      <c r="X9" s="684"/>
      <c r="Y9" s="684"/>
      <c r="Z9" s="1402"/>
      <c r="AA9" s="1402"/>
      <c r="AB9" s="412"/>
      <c r="AC9" s="412"/>
      <c r="AD9" s="412"/>
      <c r="AE9" s="412"/>
      <c r="AF9" s="68" t="s">
        <v>73</v>
      </c>
      <c r="AG9" s="88" t="s">
        <v>862</v>
      </c>
      <c r="AH9" s="145" t="s">
        <v>1086</v>
      </c>
      <c r="AI9" s="68" t="s">
        <v>610</v>
      </c>
      <c r="AJ9" s="121" t="s">
        <v>306</v>
      </c>
    </row>
    <row r="10" spans="1:36" s="8" customFormat="1" ht="21.75" customHeight="1">
      <c r="A10" s="1437"/>
      <c r="B10" s="33" t="s">
        <v>630</v>
      </c>
      <c r="C10" s="103"/>
      <c r="D10" s="684"/>
      <c r="E10" s="684"/>
      <c r="F10" s="684"/>
      <c r="G10" s="684"/>
      <c r="H10" s="684"/>
      <c r="I10" s="684"/>
      <c r="J10" s="684"/>
      <c r="K10" s="684"/>
      <c r="L10" s="684"/>
      <c r="M10" s="684"/>
      <c r="N10" s="684"/>
      <c r="O10" s="684"/>
      <c r="P10" s="684"/>
      <c r="Q10" s="684"/>
      <c r="R10" s="684"/>
      <c r="S10" s="684"/>
      <c r="T10" s="684"/>
      <c r="U10" s="684"/>
      <c r="V10" s="684"/>
      <c r="W10" s="684"/>
      <c r="X10" s="684"/>
      <c r="Y10" s="684"/>
      <c r="Z10" s="1402"/>
      <c r="AA10" s="1402"/>
      <c r="AB10" s="412"/>
      <c r="AC10" s="412"/>
      <c r="AD10" s="412"/>
      <c r="AE10" s="412"/>
      <c r="AF10" s="68" t="s">
        <v>73</v>
      </c>
      <c r="AG10" s="88" t="s">
        <v>862</v>
      </c>
      <c r="AH10" s="145" t="s">
        <v>1086</v>
      </c>
      <c r="AI10" s="68" t="s">
        <v>610</v>
      </c>
      <c r="AJ10" s="121" t="s">
        <v>306</v>
      </c>
    </row>
    <row r="11" spans="1:36" s="8" customFormat="1" ht="35.25" customHeight="1">
      <c r="A11" s="1437"/>
      <c r="B11" s="33" t="s">
        <v>631</v>
      </c>
      <c r="C11" s="103"/>
      <c r="D11" s="684"/>
      <c r="E11" s="684"/>
      <c r="F11" s="684"/>
      <c r="G11" s="684"/>
      <c r="H11" s="684"/>
      <c r="I11" s="684"/>
      <c r="J11" s="684"/>
      <c r="K11" s="684"/>
      <c r="L11" s="684"/>
      <c r="M11" s="684"/>
      <c r="N11" s="684"/>
      <c r="O11" s="684"/>
      <c r="P11" s="684"/>
      <c r="Q11" s="684"/>
      <c r="R11" s="684"/>
      <c r="S11" s="684"/>
      <c r="T11" s="684"/>
      <c r="U11" s="684"/>
      <c r="V11" s="684"/>
      <c r="W11" s="684"/>
      <c r="X11" s="684"/>
      <c r="Y11" s="684"/>
      <c r="Z11" s="1402"/>
      <c r="AA11" s="1402"/>
      <c r="AB11" s="412"/>
      <c r="AC11" s="412"/>
      <c r="AD11" s="412"/>
      <c r="AE11" s="412"/>
      <c r="AF11" s="68" t="s">
        <v>73</v>
      </c>
      <c r="AG11" s="88" t="s">
        <v>862</v>
      </c>
      <c r="AH11" s="145" t="s">
        <v>1086</v>
      </c>
      <c r="AI11" s="68" t="s">
        <v>610</v>
      </c>
      <c r="AJ11" s="121" t="s">
        <v>306</v>
      </c>
    </row>
    <row r="12" spans="1:36" s="8" customFormat="1" ht="35.25" customHeight="1">
      <c r="A12" s="1437"/>
      <c r="B12" s="33" t="s">
        <v>632</v>
      </c>
      <c r="C12" s="103"/>
      <c r="D12" s="684"/>
      <c r="E12" s="684"/>
      <c r="F12" s="684"/>
      <c r="G12" s="684"/>
      <c r="H12" s="684"/>
      <c r="I12" s="684"/>
      <c r="J12" s="684"/>
      <c r="K12" s="684"/>
      <c r="L12" s="684"/>
      <c r="M12" s="684"/>
      <c r="N12" s="684"/>
      <c r="O12" s="684"/>
      <c r="P12" s="684"/>
      <c r="Q12" s="684"/>
      <c r="R12" s="684"/>
      <c r="S12" s="684"/>
      <c r="T12" s="684"/>
      <c r="U12" s="684"/>
      <c r="V12" s="684"/>
      <c r="W12" s="684"/>
      <c r="X12" s="684"/>
      <c r="Y12" s="684"/>
      <c r="Z12" s="1403"/>
      <c r="AA12" s="1403"/>
      <c r="AB12" s="557"/>
      <c r="AC12" s="593"/>
      <c r="AD12" s="557"/>
      <c r="AE12" s="678"/>
      <c r="AF12" s="68" t="s">
        <v>73</v>
      </c>
      <c r="AG12" s="88" t="s">
        <v>862</v>
      </c>
      <c r="AH12" s="145" t="s">
        <v>1086</v>
      </c>
      <c r="AI12" s="68" t="s">
        <v>610</v>
      </c>
      <c r="AJ12" s="121" t="s">
        <v>306</v>
      </c>
    </row>
    <row r="13" spans="1:36" s="8" customFormat="1" ht="35.25" customHeight="1">
      <c r="A13" s="1438"/>
      <c r="B13" s="593" t="s">
        <v>1418</v>
      </c>
      <c r="C13" s="593" t="s">
        <v>1419</v>
      </c>
      <c r="D13" s="684"/>
      <c r="E13" s="684"/>
      <c r="F13" s="684"/>
      <c r="G13" s="684"/>
      <c r="H13" s="684"/>
      <c r="I13" s="684"/>
      <c r="J13" s="684"/>
      <c r="K13" s="684"/>
      <c r="L13" s="957"/>
      <c r="M13" s="957"/>
      <c r="N13" s="67">
        <v>39</v>
      </c>
      <c r="O13" s="67">
        <v>7.8</v>
      </c>
      <c r="P13" s="67"/>
      <c r="Q13" s="67"/>
      <c r="R13" s="67"/>
      <c r="S13" s="67"/>
      <c r="T13" s="67"/>
      <c r="U13" s="67"/>
      <c r="V13" s="67"/>
      <c r="W13" s="67"/>
      <c r="X13" s="684"/>
      <c r="Y13" s="684"/>
      <c r="Z13" s="413"/>
      <c r="AA13" s="413"/>
      <c r="AB13" s="557">
        <v>25</v>
      </c>
      <c r="AC13" s="593" t="s">
        <v>734</v>
      </c>
      <c r="AD13" s="557"/>
      <c r="AE13" s="678"/>
      <c r="AF13" s="68" t="s">
        <v>15</v>
      </c>
      <c r="AG13" s="354" t="s">
        <v>49</v>
      </c>
      <c r="AH13" s="145" t="s">
        <v>1086</v>
      </c>
      <c r="AI13" s="68" t="s">
        <v>306</v>
      </c>
      <c r="AJ13" s="121" t="s">
        <v>306</v>
      </c>
    </row>
    <row r="14" spans="1:36" s="8" customFormat="1" ht="35.25" customHeight="1">
      <c r="A14" s="956" t="s">
        <v>220</v>
      </c>
      <c r="B14" s="560" t="s">
        <v>1420</v>
      </c>
      <c r="C14" s="804" t="s">
        <v>1421</v>
      </c>
      <c r="D14" s="91">
        <v>100</v>
      </c>
      <c r="E14" s="2">
        <v>76</v>
      </c>
      <c r="F14" s="91">
        <v>115</v>
      </c>
      <c r="G14" s="91">
        <v>49.15</v>
      </c>
      <c r="H14" s="689"/>
      <c r="I14" s="689"/>
      <c r="J14" s="689">
        <v>150</v>
      </c>
      <c r="K14" s="689">
        <v>3</v>
      </c>
      <c r="L14" s="957"/>
      <c r="M14" s="95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84"/>
      <c r="Y14" s="684"/>
      <c r="Z14" s="413"/>
      <c r="AA14" s="413"/>
      <c r="AB14" s="557"/>
      <c r="AC14" s="593"/>
      <c r="AD14" s="557"/>
      <c r="AE14" s="678"/>
      <c r="AF14" s="68" t="s">
        <v>15</v>
      </c>
      <c r="AG14" s="145">
        <v>25</v>
      </c>
      <c r="AH14" s="145" t="s">
        <v>1086</v>
      </c>
      <c r="AI14" s="958" t="s">
        <v>306</v>
      </c>
      <c r="AJ14" s="121" t="s">
        <v>306</v>
      </c>
    </row>
    <row r="15" spans="1:36" s="8" customFormat="1" ht="63">
      <c r="A15" s="777" t="s">
        <v>668</v>
      </c>
      <c r="B15" s="2" t="s">
        <v>1393</v>
      </c>
      <c r="C15" s="2" t="s">
        <v>1394</v>
      </c>
      <c r="D15" s="2"/>
      <c r="E15" s="2"/>
      <c r="F15" s="2"/>
      <c r="G15" s="2"/>
      <c r="H15" s="689">
        <v>150</v>
      </c>
      <c r="I15" s="689">
        <v>98</v>
      </c>
      <c r="J15" s="689">
        <v>150</v>
      </c>
      <c r="K15" s="689">
        <v>2.5</v>
      </c>
      <c r="L15" s="957"/>
      <c r="M15" s="957"/>
      <c r="N15" s="67">
        <v>15</v>
      </c>
      <c r="O15" s="67">
        <v>8.25</v>
      </c>
      <c r="P15" s="87">
        <v>30</v>
      </c>
      <c r="Q15" s="87">
        <v>0</v>
      </c>
      <c r="R15" s="87">
        <v>30</v>
      </c>
      <c r="S15" s="959">
        <v>4</v>
      </c>
      <c r="T15" s="67"/>
      <c r="U15" s="67"/>
      <c r="V15" s="145">
        <v>191</v>
      </c>
      <c r="W15" s="145">
        <v>4.29</v>
      </c>
      <c r="X15" s="2"/>
      <c r="Y15" s="2"/>
      <c r="Z15" s="2"/>
      <c r="AA15" s="2"/>
      <c r="AB15" s="557">
        <v>100</v>
      </c>
      <c r="AC15" s="593" t="s">
        <v>734</v>
      </c>
      <c r="AD15" s="557">
        <v>50</v>
      </c>
      <c r="AE15" s="678">
        <v>2.43</v>
      </c>
      <c r="AF15" s="14"/>
      <c r="AG15" s="145">
        <v>30</v>
      </c>
      <c r="AH15" s="2" t="s">
        <v>1086</v>
      </c>
      <c r="AI15" s="2" t="s">
        <v>306</v>
      </c>
      <c r="AJ15" s="116" t="s">
        <v>669</v>
      </c>
    </row>
    <row r="16" spans="1:36" s="8" customFormat="1" ht="37.5" customHeight="1">
      <c r="A16" s="736" t="s">
        <v>671</v>
      </c>
      <c r="B16" s="92" t="s">
        <v>1395</v>
      </c>
      <c r="C16" s="2" t="s">
        <v>1396</v>
      </c>
      <c r="D16" s="91">
        <v>100</v>
      </c>
      <c r="E16" s="2">
        <v>0</v>
      </c>
      <c r="F16" s="91">
        <v>40</v>
      </c>
      <c r="G16" s="129">
        <v>4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145"/>
      <c r="AG16" s="145">
        <v>25</v>
      </c>
      <c r="AH16" s="2" t="s">
        <v>1086</v>
      </c>
      <c r="AI16" s="2" t="s">
        <v>306</v>
      </c>
      <c r="AJ16" s="116" t="s">
        <v>669</v>
      </c>
    </row>
    <row r="17" spans="1:36" s="3" customFormat="1" ht="37.5" customHeight="1">
      <c r="A17" s="736" t="s">
        <v>222</v>
      </c>
      <c r="B17" s="151" t="s">
        <v>223</v>
      </c>
      <c r="C17" s="152"/>
      <c r="D17" s="980"/>
      <c r="E17" s="980"/>
      <c r="F17" s="980"/>
      <c r="G17" s="980"/>
      <c r="H17" s="560">
        <v>120</v>
      </c>
      <c r="I17" s="560">
        <v>4</v>
      </c>
      <c r="J17" s="560">
        <v>120</v>
      </c>
      <c r="K17" s="560">
        <v>2</v>
      </c>
      <c r="L17" s="980"/>
      <c r="M17" s="980"/>
      <c r="N17" s="980"/>
      <c r="O17" s="980"/>
      <c r="P17" s="980"/>
      <c r="Q17" s="980"/>
      <c r="R17" s="980"/>
      <c r="S17" s="980"/>
      <c r="T17" s="980"/>
      <c r="U17" s="980"/>
      <c r="V17" s="980"/>
      <c r="W17" s="980"/>
      <c r="X17" s="980"/>
      <c r="Y17" s="980"/>
      <c r="Z17" s="980"/>
      <c r="AA17" s="980"/>
      <c r="AB17" s="557">
        <v>25</v>
      </c>
      <c r="AC17" s="593" t="s">
        <v>734</v>
      </c>
      <c r="AD17" s="557">
        <v>75</v>
      </c>
      <c r="AE17" s="678">
        <v>1.51</v>
      </c>
      <c r="AF17" s="145" t="s">
        <v>81</v>
      </c>
      <c r="AG17" s="145" t="s">
        <v>862</v>
      </c>
      <c r="AH17" s="2" t="s">
        <v>1086</v>
      </c>
      <c r="AI17" s="747" t="s">
        <v>306</v>
      </c>
      <c r="AJ17" s="981" t="s">
        <v>306</v>
      </c>
    </row>
    <row r="18" spans="1:36" s="8" customFormat="1" ht="44.25" customHeight="1">
      <c r="A18" s="736" t="s">
        <v>750</v>
      </c>
      <c r="B18" s="928" t="s">
        <v>751</v>
      </c>
      <c r="C18" s="982" t="s">
        <v>752</v>
      </c>
      <c r="D18" s="91">
        <v>100</v>
      </c>
      <c r="E18" s="2">
        <v>0</v>
      </c>
      <c r="F18" s="91">
        <v>100</v>
      </c>
      <c r="G18" s="129">
        <v>19</v>
      </c>
      <c r="H18" s="696"/>
      <c r="I18" s="689"/>
      <c r="J18" s="689"/>
      <c r="K18" s="689"/>
      <c r="L18" s="982"/>
      <c r="M18" s="982"/>
      <c r="N18" s="982"/>
      <c r="O18" s="982"/>
      <c r="P18" s="982"/>
      <c r="Q18" s="982"/>
      <c r="R18" s="982"/>
      <c r="S18" s="982"/>
      <c r="T18" s="982"/>
      <c r="U18" s="982"/>
      <c r="V18" s="982"/>
      <c r="W18" s="982"/>
      <c r="X18" s="982"/>
      <c r="Y18" s="982"/>
      <c r="Z18" s="982"/>
      <c r="AA18" s="982"/>
      <c r="AB18" s="557">
        <v>150</v>
      </c>
      <c r="AC18" s="593" t="s">
        <v>734</v>
      </c>
      <c r="AD18" s="557">
        <v>600</v>
      </c>
      <c r="AE18" s="678">
        <v>8.6</v>
      </c>
      <c r="AF18" s="595" t="s">
        <v>753</v>
      </c>
      <c r="AG18" s="88">
        <v>30</v>
      </c>
      <c r="AH18" s="2" t="s">
        <v>1086</v>
      </c>
      <c r="AI18" s="747" t="s">
        <v>306</v>
      </c>
      <c r="AJ18" s="981" t="s">
        <v>306</v>
      </c>
    </row>
    <row r="19" spans="1:36" s="8" customFormat="1" ht="44.25" customHeight="1">
      <c r="A19" s="736" t="s">
        <v>750</v>
      </c>
      <c r="B19" s="928" t="s">
        <v>751</v>
      </c>
      <c r="C19" s="982" t="s">
        <v>752</v>
      </c>
      <c r="D19" s="982"/>
      <c r="E19" s="982"/>
      <c r="F19" s="982"/>
      <c r="G19" s="982"/>
      <c r="H19" s="696"/>
      <c r="I19" s="689"/>
      <c r="J19" s="689">
        <v>180</v>
      </c>
      <c r="K19" s="689">
        <v>3</v>
      </c>
      <c r="L19" s="982"/>
      <c r="M19" s="982"/>
      <c r="N19" s="982"/>
      <c r="O19" s="982"/>
      <c r="P19" s="982"/>
      <c r="Q19" s="982"/>
      <c r="R19" s="982"/>
      <c r="S19" s="982"/>
      <c r="T19" s="982"/>
      <c r="U19" s="982"/>
      <c r="V19" s="982"/>
      <c r="W19" s="982"/>
      <c r="X19" s="982"/>
      <c r="Y19" s="982"/>
      <c r="Z19" s="982"/>
      <c r="AA19" s="982"/>
      <c r="AB19" s="557"/>
      <c r="AC19" s="593"/>
      <c r="AD19" s="557"/>
      <c r="AE19" s="678"/>
      <c r="AF19" s="595" t="s">
        <v>15</v>
      </c>
      <c r="AG19" s="88">
        <v>30</v>
      </c>
      <c r="AH19" s="2" t="s">
        <v>1086</v>
      </c>
      <c r="AI19" s="960" t="s">
        <v>306</v>
      </c>
      <c r="AJ19" s="981" t="s">
        <v>306</v>
      </c>
    </row>
    <row r="20" spans="1:36" s="3" customFormat="1" ht="37.5" customHeight="1">
      <c r="A20" s="736" t="s">
        <v>605</v>
      </c>
      <c r="B20" s="155" t="s">
        <v>614</v>
      </c>
      <c r="C20" s="33" t="s">
        <v>606</v>
      </c>
      <c r="D20" s="145">
        <v>50</v>
      </c>
      <c r="E20" s="145">
        <v>38</v>
      </c>
      <c r="F20" s="145">
        <v>114</v>
      </c>
      <c r="G20" s="145">
        <v>27.97</v>
      </c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>
        <v>249</v>
      </c>
      <c r="U20" s="167">
        <v>0</v>
      </c>
      <c r="V20" s="167">
        <v>249</v>
      </c>
      <c r="W20" s="167">
        <v>4.86</v>
      </c>
      <c r="X20" s="167"/>
      <c r="Y20" s="167"/>
      <c r="Z20" s="167"/>
      <c r="AA20" s="167"/>
      <c r="AB20" s="557">
        <v>0</v>
      </c>
      <c r="AC20" s="961">
        <v>0</v>
      </c>
      <c r="AD20" s="557">
        <v>75</v>
      </c>
      <c r="AE20" s="962">
        <v>3</v>
      </c>
      <c r="AF20" s="68" t="s">
        <v>69</v>
      </c>
      <c r="AG20" s="68" t="s">
        <v>865</v>
      </c>
      <c r="AH20" s="2" t="s">
        <v>1086</v>
      </c>
      <c r="AI20" s="68" t="s">
        <v>610</v>
      </c>
      <c r="AJ20" s="116" t="s">
        <v>611</v>
      </c>
    </row>
    <row r="21" spans="1:36" s="8" customFormat="1" ht="49.5" customHeight="1" hidden="1">
      <c r="A21" s="770" t="s">
        <v>409</v>
      </c>
      <c r="B21" s="89" t="s">
        <v>410</v>
      </c>
      <c r="C21" s="963" t="s">
        <v>411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 t="s">
        <v>412</v>
      </c>
      <c r="AG21" s="88"/>
      <c r="AH21" s="2" t="s">
        <v>1086</v>
      </c>
      <c r="AI21" s="14" t="s">
        <v>306</v>
      </c>
      <c r="AJ21" s="123" t="s">
        <v>413</v>
      </c>
    </row>
    <row r="22" spans="1:36" s="8" customFormat="1" ht="37.5" customHeight="1" hidden="1">
      <c r="A22" s="770" t="s">
        <v>414</v>
      </c>
      <c r="B22" s="89" t="s">
        <v>440</v>
      </c>
      <c r="C22" s="963" t="s">
        <v>418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964"/>
      <c r="AC22" s="964"/>
      <c r="AD22" s="964"/>
      <c r="AE22" s="964"/>
      <c r="AF22" s="1031" t="s">
        <v>421</v>
      </c>
      <c r="AG22" s="1031" t="s">
        <v>421</v>
      </c>
      <c r="AH22" s="2" t="s">
        <v>1086</v>
      </c>
      <c r="AI22" s="14" t="s">
        <v>306</v>
      </c>
      <c r="AJ22" s="123" t="s">
        <v>413</v>
      </c>
    </row>
    <row r="23" spans="1:36" s="8" customFormat="1" ht="37.5" customHeight="1" hidden="1">
      <c r="A23" s="770" t="s">
        <v>415</v>
      </c>
      <c r="B23" s="89" t="s">
        <v>440</v>
      </c>
      <c r="C23" s="963" t="s">
        <v>419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965"/>
      <c r="AC23" s="965"/>
      <c r="AD23" s="965"/>
      <c r="AE23" s="965"/>
      <c r="AF23" s="1032"/>
      <c r="AG23" s="1032"/>
      <c r="AH23" s="2" t="s">
        <v>1086</v>
      </c>
      <c r="AI23" s="14" t="s">
        <v>306</v>
      </c>
      <c r="AJ23" s="123" t="s">
        <v>413</v>
      </c>
    </row>
    <row r="24" spans="1:36" s="8" customFormat="1" ht="37.5" customHeight="1" hidden="1">
      <c r="A24" s="770" t="s">
        <v>416</v>
      </c>
      <c r="B24" s="89" t="s">
        <v>440</v>
      </c>
      <c r="C24" s="963" t="s">
        <v>420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88"/>
      <c r="AC24" s="88"/>
      <c r="AD24" s="88"/>
      <c r="AE24" s="88"/>
      <c r="AF24" s="1033"/>
      <c r="AG24" s="1033"/>
      <c r="AH24" s="2" t="s">
        <v>1086</v>
      </c>
      <c r="AI24" s="14" t="s">
        <v>306</v>
      </c>
      <c r="AJ24" s="123" t="s">
        <v>413</v>
      </c>
    </row>
    <row r="25" spans="1:36" s="8" customFormat="1" ht="37.5" customHeight="1" hidden="1">
      <c r="A25" s="770" t="s">
        <v>417</v>
      </c>
      <c r="B25" s="89" t="s">
        <v>422</v>
      </c>
      <c r="C25" s="963" t="s">
        <v>423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 t="s">
        <v>424</v>
      </c>
      <c r="AG25" s="88"/>
      <c r="AH25" s="2" t="s">
        <v>1086</v>
      </c>
      <c r="AI25" s="14"/>
      <c r="AJ25" s="123" t="s">
        <v>413</v>
      </c>
    </row>
    <row r="26" spans="1:36" s="3" customFormat="1" ht="37.5" customHeight="1">
      <c r="A26" s="601" t="s">
        <v>607</v>
      </c>
      <c r="B26" s="89" t="s">
        <v>225</v>
      </c>
      <c r="C26" s="33" t="s">
        <v>608</v>
      </c>
      <c r="D26" s="91">
        <v>35</v>
      </c>
      <c r="E26" s="129">
        <v>7</v>
      </c>
      <c r="F26" s="33"/>
      <c r="G26" s="33"/>
      <c r="H26" s="33"/>
      <c r="I26" s="33"/>
      <c r="J26" s="33"/>
      <c r="K26" s="33"/>
      <c r="L26" s="957"/>
      <c r="M26" s="957"/>
      <c r="N26" s="67">
        <v>11</v>
      </c>
      <c r="O26" s="67">
        <v>8.8</v>
      </c>
      <c r="P26" s="145">
        <v>9</v>
      </c>
      <c r="Q26" s="145">
        <v>9</v>
      </c>
      <c r="R26" s="145">
        <v>9</v>
      </c>
      <c r="S26" s="30">
        <v>4.5</v>
      </c>
      <c r="T26" s="67">
        <v>386</v>
      </c>
      <c r="U26" s="67">
        <v>0</v>
      </c>
      <c r="V26" s="67">
        <v>386</v>
      </c>
      <c r="W26" s="67">
        <v>2.99</v>
      </c>
      <c r="X26" s="33"/>
      <c r="Y26" s="33"/>
      <c r="Z26" s="33"/>
      <c r="AA26" s="33"/>
      <c r="AB26" s="557">
        <v>200</v>
      </c>
      <c r="AC26" s="593" t="s">
        <v>734</v>
      </c>
      <c r="AD26" s="557">
        <v>200</v>
      </c>
      <c r="AE26" s="678">
        <v>3.2</v>
      </c>
      <c r="AF26" s="68" t="s">
        <v>333</v>
      </c>
      <c r="AG26" s="68">
        <v>35</v>
      </c>
      <c r="AH26" s="2" t="s">
        <v>1086</v>
      </c>
      <c r="AI26" s="68" t="s">
        <v>610</v>
      </c>
      <c r="AJ26" s="116" t="s">
        <v>613</v>
      </c>
    </row>
    <row r="27" spans="1:36" s="8" customFormat="1" ht="37.5" customHeight="1" hidden="1">
      <c r="A27" s="770" t="s">
        <v>425</v>
      </c>
      <c r="B27" s="89" t="s">
        <v>410</v>
      </c>
      <c r="C27" s="963" t="s">
        <v>431</v>
      </c>
      <c r="D27" s="963"/>
      <c r="E27" s="963"/>
      <c r="F27" s="963"/>
      <c r="G27" s="963"/>
      <c r="H27" s="963"/>
      <c r="I27" s="963"/>
      <c r="J27" s="963"/>
      <c r="K27" s="963"/>
      <c r="L27" s="963"/>
      <c r="M27" s="963"/>
      <c r="N27" s="963"/>
      <c r="O27" s="963"/>
      <c r="P27" s="963"/>
      <c r="Q27" s="963"/>
      <c r="R27" s="963"/>
      <c r="S27" s="963"/>
      <c r="T27" s="963"/>
      <c r="U27" s="963"/>
      <c r="V27" s="963"/>
      <c r="W27" s="963"/>
      <c r="X27" s="963"/>
      <c r="Y27" s="963"/>
      <c r="Z27" s="963"/>
      <c r="AA27" s="963"/>
      <c r="AB27" s="963"/>
      <c r="AC27" s="963"/>
      <c r="AD27" s="963"/>
      <c r="AE27" s="963"/>
      <c r="AF27" s="14" t="s">
        <v>412</v>
      </c>
      <c r="AG27" s="88"/>
      <c r="AH27" s="2" t="s">
        <v>1086</v>
      </c>
      <c r="AI27" s="68" t="s">
        <v>610</v>
      </c>
      <c r="AJ27" s="123" t="s">
        <v>372</v>
      </c>
    </row>
    <row r="28" spans="1:36" s="8" customFormat="1" ht="37.5" customHeight="1" hidden="1">
      <c r="A28" s="770" t="s">
        <v>426</v>
      </c>
      <c r="B28" s="89" t="s">
        <v>440</v>
      </c>
      <c r="C28" s="963" t="s">
        <v>418</v>
      </c>
      <c r="D28" s="966"/>
      <c r="E28" s="966"/>
      <c r="F28" s="966"/>
      <c r="G28" s="966"/>
      <c r="H28" s="966"/>
      <c r="I28" s="966"/>
      <c r="J28" s="966"/>
      <c r="K28" s="966"/>
      <c r="L28" s="966"/>
      <c r="M28" s="966"/>
      <c r="N28" s="966"/>
      <c r="O28" s="966"/>
      <c r="P28" s="966"/>
      <c r="Q28" s="966"/>
      <c r="R28" s="966"/>
      <c r="S28" s="966"/>
      <c r="T28" s="966"/>
      <c r="U28" s="966"/>
      <c r="V28" s="966"/>
      <c r="W28" s="966"/>
      <c r="X28" s="966"/>
      <c r="Y28" s="966"/>
      <c r="Z28" s="966"/>
      <c r="AA28" s="966"/>
      <c r="AB28" s="966"/>
      <c r="AC28" s="966"/>
      <c r="AD28" s="966"/>
      <c r="AE28" s="966"/>
      <c r="AF28" s="1031" t="s">
        <v>421</v>
      </c>
      <c r="AG28" s="1031" t="s">
        <v>421</v>
      </c>
      <c r="AH28" s="145" t="s">
        <v>88</v>
      </c>
      <c r="AI28" s="68" t="s">
        <v>610</v>
      </c>
      <c r="AJ28" s="123" t="s">
        <v>413</v>
      </c>
    </row>
    <row r="29" spans="1:36" s="8" customFormat="1" ht="37.5" customHeight="1" hidden="1">
      <c r="A29" s="770" t="s">
        <v>427</v>
      </c>
      <c r="B29" s="89" t="s">
        <v>440</v>
      </c>
      <c r="C29" s="963" t="s">
        <v>419</v>
      </c>
      <c r="D29" s="967"/>
      <c r="E29" s="967"/>
      <c r="F29" s="967"/>
      <c r="G29" s="967"/>
      <c r="H29" s="967"/>
      <c r="I29" s="967"/>
      <c r="J29" s="967"/>
      <c r="K29" s="967"/>
      <c r="L29" s="967"/>
      <c r="M29" s="967"/>
      <c r="N29" s="967"/>
      <c r="O29" s="967"/>
      <c r="P29" s="967"/>
      <c r="Q29" s="967"/>
      <c r="R29" s="967"/>
      <c r="S29" s="967"/>
      <c r="T29" s="967"/>
      <c r="U29" s="967"/>
      <c r="V29" s="967"/>
      <c r="W29" s="967"/>
      <c r="X29" s="967"/>
      <c r="Y29" s="967"/>
      <c r="Z29" s="967"/>
      <c r="AA29" s="967"/>
      <c r="AB29" s="967"/>
      <c r="AC29" s="967"/>
      <c r="AD29" s="967"/>
      <c r="AE29" s="967"/>
      <c r="AF29" s="1032"/>
      <c r="AG29" s="1032"/>
      <c r="AH29" s="145" t="s">
        <v>88</v>
      </c>
      <c r="AI29" s="68" t="s">
        <v>610</v>
      </c>
      <c r="AJ29" s="123" t="s">
        <v>413</v>
      </c>
    </row>
    <row r="30" spans="1:36" s="8" customFormat="1" ht="37.5" customHeight="1" hidden="1">
      <c r="A30" s="770" t="s">
        <v>428</v>
      </c>
      <c r="B30" s="89" t="s">
        <v>440</v>
      </c>
      <c r="C30" s="963" t="s">
        <v>420</v>
      </c>
      <c r="D30" s="713"/>
      <c r="E30" s="713"/>
      <c r="F30" s="713"/>
      <c r="G30" s="713"/>
      <c r="H30" s="713"/>
      <c r="I30" s="713"/>
      <c r="J30" s="713"/>
      <c r="K30" s="713"/>
      <c r="L30" s="713"/>
      <c r="M30" s="713"/>
      <c r="N30" s="713"/>
      <c r="O30" s="713"/>
      <c r="P30" s="713"/>
      <c r="Q30" s="713"/>
      <c r="R30" s="713"/>
      <c r="S30" s="713"/>
      <c r="T30" s="713"/>
      <c r="U30" s="713"/>
      <c r="V30" s="713"/>
      <c r="W30" s="713"/>
      <c r="X30" s="713"/>
      <c r="Y30" s="713"/>
      <c r="Z30" s="713"/>
      <c r="AA30" s="713"/>
      <c r="AB30" s="713"/>
      <c r="AC30" s="713"/>
      <c r="AD30" s="713"/>
      <c r="AE30" s="713"/>
      <c r="AF30" s="1033"/>
      <c r="AG30" s="1033"/>
      <c r="AH30" s="145" t="s">
        <v>88</v>
      </c>
      <c r="AI30" s="68" t="s">
        <v>610</v>
      </c>
      <c r="AJ30" s="123" t="s">
        <v>413</v>
      </c>
    </row>
    <row r="31" spans="1:36" s="8" customFormat="1" ht="37.5" customHeight="1" hidden="1">
      <c r="A31" s="770" t="s">
        <v>429</v>
      </c>
      <c r="B31" s="89" t="s">
        <v>85</v>
      </c>
      <c r="C31" s="963" t="s">
        <v>431</v>
      </c>
      <c r="D31" s="963"/>
      <c r="E31" s="963"/>
      <c r="F31" s="963"/>
      <c r="G31" s="963"/>
      <c r="H31" s="963"/>
      <c r="I31" s="963"/>
      <c r="J31" s="963"/>
      <c r="K31" s="963"/>
      <c r="L31" s="963"/>
      <c r="M31" s="963"/>
      <c r="N31" s="963"/>
      <c r="O31" s="963"/>
      <c r="P31" s="963"/>
      <c r="Q31" s="963"/>
      <c r="R31" s="963"/>
      <c r="S31" s="963"/>
      <c r="T31" s="963"/>
      <c r="U31" s="963"/>
      <c r="V31" s="963"/>
      <c r="W31" s="963"/>
      <c r="X31" s="963"/>
      <c r="Y31" s="963"/>
      <c r="Z31" s="963"/>
      <c r="AA31" s="963"/>
      <c r="AB31" s="963"/>
      <c r="AC31" s="963"/>
      <c r="AD31" s="963"/>
      <c r="AE31" s="963"/>
      <c r="AF31" s="14" t="s">
        <v>71</v>
      </c>
      <c r="AG31" s="88"/>
      <c r="AH31" s="2" t="s">
        <v>1086</v>
      </c>
      <c r="AI31" s="68" t="s">
        <v>610</v>
      </c>
      <c r="AJ31" s="123" t="s">
        <v>372</v>
      </c>
    </row>
    <row r="32" spans="1:36" s="8" customFormat="1" ht="45" customHeight="1" hidden="1">
      <c r="A32" s="770" t="s">
        <v>430</v>
      </c>
      <c r="B32" s="89" t="s">
        <v>432</v>
      </c>
      <c r="C32" s="963" t="s">
        <v>433</v>
      </c>
      <c r="D32" s="963"/>
      <c r="E32" s="963"/>
      <c r="F32" s="963"/>
      <c r="G32" s="963"/>
      <c r="H32" s="963"/>
      <c r="I32" s="963"/>
      <c r="J32" s="963"/>
      <c r="K32" s="963"/>
      <c r="L32" s="963"/>
      <c r="M32" s="963"/>
      <c r="N32" s="963"/>
      <c r="O32" s="963"/>
      <c r="P32" s="963"/>
      <c r="Q32" s="963"/>
      <c r="R32" s="963"/>
      <c r="S32" s="963"/>
      <c r="T32" s="963"/>
      <c r="U32" s="963"/>
      <c r="V32" s="963"/>
      <c r="W32" s="963"/>
      <c r="X32" s="963"/>
      <c r="Y32" s="963"/>
      <c r="Z32" s="963"/>
      <c r="AA32" s="963"/>
      <c r="AB32" s="963"/>
      <c r="AC32" s="963"/>
      <c r="AD32" s="963"/>
      <c r="AE32" s="963"/>
      <c r="AF32" s="14" t="s">
        <v>37</v>
      </c>
      <c r="AG32" s="14" t="s">
        <v>544</v>
      </c>
      <c r="AH32" s="14" t="s">
        <v>612</v>
      </c>
      <c r="AI32" s="68" t="s">
        <v>610</v>
      </c>
      <c r="AJ32" s="123" t="s">
        <v>543</v>
      </c>
    </row>
    <row r="33" spans="1:36" s="8" customFormat="1" ht="37.5" customHeight="1">
      <c r="A33" s="770" t="s">
        <v>219</v>
      </c>
      <c r="B33" s="89" t="s">
        <v>224</v>
      </c>
      <c r="C33" s="963"/>
      <c r="D33" s="68"/>
      <c r="E33" s="145"/>
      <c r="F33" s="68">
        <v>84</v>
      </c>
      <c r="G33" s="79">
        <v>16.93</v>
      </c>
      <c r="H33" s="963"/>
      <c r="I33" s="963"/>
      <c r="J33" s="963"/>
      <c r="K33" s="963"/>
      <c r="L33" s="963"/>
      <c r="M33" s="963"/>
      <c r="N33" s="963"/>
      <c r="O33" s="963"/>
      <c r="P33" s="145">
        <v>66</v>
      </c>
      <c r="Q33" s="145">
        <v>60</v>
      </c>
      <c r="R33" s="145">
        <v>60</v>
      </c>
      <c r="S33" s="30">
        <v>6</v>
      </c>
      <c r="T33" s="963">
        <v>319</v>
      </c>
      <c r="U33" s="963">
        <v>0</v>
      </c>
      <c r="V33" s="963">
        <v>331</v>
      </c>
      <c r="W33" s="963">
        <v>1.87</v>
      </c>
      <c r="X33" s="963"/>
      <c r="Y33" s="963"/>
      <c r="Z33" s="963"/>
      <c r="AA33" s="963"/>
      <c r="AB33" s="963"/>
      <c r="AC33" s="963"/>
      <c r="AD33" s="963"/>
      <c r="AE33" s="963"/>
      <c r="AF33" s="14" t="s">
        <v>575</v>
      </c>
      <c r="AG33" s="14">
        <v>30</v>
      </c>
      <c r="AH33" s="145" t="s">
        <v>88</v>
      </c>
      <c r="AI33" s="68" t="s">
        <v>610</v>
      </c>
      <c r="AJ33" s="123" t="s">
        <v>413</v>
      </c>
    </row>
    <row r="34" spans="1:36" s="8" customFormat="1" ht="27.75" customHeight="1" hidden="1">
      <c r="A34" s="770" t="s">
        <v>434</v>
      </c>
      <c r="B34" s="89" t="s">
        <v>410</v>
      </c>
      <c r="C34" s="963" t="s">
        <v>442</v>
      </c>
      <c r="D34" s="963"/>
      <c r="E34" s="963"/>
      <c r="F34" s="963"/>
      <c r="G34" s="963"/>
      <c r="H34" s="963"/>
      <c r="I34" s="963"/>
      <c r="J34" s="963"/>
      <c r="K34" s="963"/>
      <c r="L34" s="963"/>
      <c r="M34" s="963"/>
      <c r="N34" s="963"/>
      <c r="O34" s="963"/>
      <c r="P34" s="963"/>
      <c r="Q34" s="963"/>
      <c r="R34" s="963"/>
      <c r="S34" s="963"/>
      <c r="T34" s="963"/>
      <c r="U34" s="963"/>
      <c r="V34" s="963"/>
      <c r="W34" s="963"/>
      <c r="X34" s="963"/>
      <c r="Y34" s="963"/>
      <c r="Z34" s="963"/>
      <c r="AA34" s="963"/>
      <c r="AB34" s="963"/>
      <c r="AC34" s="963"/>
      <c r="AD34" s="963"/>
      <c r="AE34" s="963"/>
      <c r="AF34" s="14" t="s">
        <v>412</v>
      </c>
      <c r="AG34" s="88"/>
      <c r="AH34" s="14" t="s">
        <v>621</v>
      </c>
      <c r="AI34" s="14" t="s">
        <v>306</v>
      </c>
      <c r="AJ34" s="123" t="s">
        <v>372</v>
      </c>
    </row>
    <row r="35" spans="1:36" s="8" customFormat="1" ht="27.75" customHeight="1" hidden="1">
      <c r="A35" s="770" t="s">
        <v>435</v>
      </c>
      <c r="B35" s="89" t="s">
        <v>440</v>
      </c>
      <c r="C35" s="963" t="s">
        <v>418</v>
      </c>
      <c r="D35" s="966"/>
      <c r="E35" s="966"/>
      <c r="F35" s="966"/>
      <c r="G35" s="966"/>
      <c r="H35" s="966"/>
      <c r="I35" s="966"/>
      <c r="J35" s="966"/>
      <c r="K35" s="966"/>
      <c r="L35" s="966"/>
      <c r="M35" s="966"/>
      <c r="N35" s="966"/>
      <c r="O35" s="966"/>
      <c r="P35" s="966"/>
      <c r="Q35" s="966"/>
      <c r="R35" s="966"/>
      <c r="S35" s="966"/>
      <c r="T35" s="966"/>
      <c r="U35" s="966"/>
      <c r="V35" s="966"/>
      <c r="W35" s="966"/>
      <c r="X35" s="966"/>
      <c r="Y35" s="966"/>
      <c r="Z35" s="966"/>
      <c r="AA35" s="966"/>
      <c r="AB35" s="966"/>
      <c r="AC35" s="966"/>
      <c r="AD35" s="966"/>
      <c r="AE35" s="966"/>
      <c r="AF35" s="1031" t="s">
        <v>421</v>
      </c>
      <c r="AG35" s="1031" t="s">
        <v>421</v>
      </c>
      <c r="AH35" s="145" t="s">
        <v>88</v>
      </c>
      <c r="AI35" s="14" t="s">
        <v>306</v>
      </c>
      <c r="AJ35" s="123" t="s">
        <v>413</v>
      </c>
    </row>
    <row r="36" spans="1:36" s="8" customFormat="1" ht="27.75" customHeight="1" hidden="1">
      <c r="A36" s="770" t="s">
        <v>436</v>
      </c>
      <c r="B36" s="89" t="s">
        <v>440</v>
      </c>
      <c r="C36" s="963" t="s">
        <v>419</v>
      </c>
      <c r="D36" s="967"/>
      <c r="E36" s="967"/>
      <c r="F36" s="967"/>
      <c r="G36" s="967"/>
      <c r="H36" s="967"/>
      <c r="I36" s="967"/>
      <c r="J36" s="967"/>
      <c r="K36" s="967"/>
      <c r="L36" s="967"/>
      <c r="M36" s="967"/>
      <c r="N36" s="967"/>
      <c r="O36" s="967"/>
      <c r="P36" s="967"/>
      <c r="Q36" s="967"/>
      <c r="R36" s="967"/>
      <c r="S36" s="967"/>
      <c r="T36" s="967"/>
      <c r="U36" s="967"/>
      <c r="V36" s="967"/>
      <c r="W36" s="967"/>
      <c r="X36" s="967"/>
      <c r="Y36" s="967"/>
      <c r="Z36" s="967"/>
      <c r="AA36" s="967"/>
      <c r="AB36" s="967"/>
      <c r="AC36" s="967"/>
      <c r="AD36" s="967"/>
      <c r="AE36" s="967"/>
      <c r="AF36" s="1032"/>
      <c r="AG36" s="1032"/>
      <c r="AH36" s="145" t="s">
        <v>88</v>
      </c>
      <c r="AI36" s="14" t="s">
        <v>306</v>
      </c>
      <c r="AJ36" s="123" t="s">
        <v>413</v>
      </c>
    </row>
    <row r="37" spans="1:36" s="8" customFormat="1" ht="27.75" customHeight="1" hidden="1">
      <c r="A37" s="770" t="s">
        <v>437</v>
      </c>
      <c r="B37" s="89" t="s">
        <v>440</v>
      </c>
      <c r="C37" s="963" t="s">
        <v>420</v>
      </c>
      <c r="D37" s="713"/>
      <c r="E37" s="713"/>
      <c r="F37" s="713"/>
      <c r="G37" s="713"/>
      <c r="H37" s="713"/>
      <c r="I37" s="713"/>
      <c r="J37" s="713"/>
      <c r="K37" s="713"/>
      <c r="L37" s="713"/>
      <c r="M37" s="713"/>
      <c r="N37" s="713"/>
      <c r="O37" s="713"/>
      <c r="P37" s="713"/>
      <c r="Q37" s="713"/>
      <c r="R37" s="713"/>
      <c r="S37" s="713"/>
      <c r="T37" s="713"/>
      <c r="U37" s="713"/>
      <c r="V37" s="713"/>
      <c r="W37" s="713"/>
      <c r="X37" s="713"/>
      <c r="Y37" s="713"/>
      <c r="Z37" s="713"/>
      <c r="AA37" s="713"/>
      <c r="AB37" s="713"/>
      <c r="AC37" s="713"/>
      <c r="AD37" s="713"/>
      <c r="AE37" s="713"/>
      <c r="AF37" s="1033"/>
      <c r="AG37" s="1033"/>
      <c r="AH37" s="145" t="s">
        <v>88</v>
      </c>
      <c r="AI37" s="14" t="s">
        <v>306</v>
      </c>
      <c r="AJ37" s="123" t="s">
        <v>413</v>
      </c>
    </row>
    <row r="38" spans="1:36" s="8" customFormat="1" ht="33" customHeight="1" hidden="1">
      <c r="A38" s="770" t="s">
        <v>438</v>
      </c>
      <c r="B38" s="89" t="s">
        <v>85</v>
      </c>
      <c r="C38" s="963" t="s">
        <v>443</v>
      </c>
      <c r="D38" s="963"/>
      <c r="E38" s="963"/>
      <c r="F38" s="963"/>
      <c r="G38" s="963"/>
      <c r="H38" s="963"/>
      <c r="I38" s="963"/>
      <c r="J38" s="963"/>
      <c r="K38" s="963"/>
      <c r="L38" s="963"/>
      <c r="M38" s="963"/>
      <c r="N38" s="963"/>
      <c r="O38" s="963"/>
      <c r="P38" s="963"/>
      <c r="Q38" s="963"/>
      <c r="R38" s="963"/>
      <c r="S38" s="963"/>
      <c r="T38" s="963"/>
      <c r="U38" s="963"/>
      <c r="V38" s="963"/>
      <c r="W38" s="963"/>
      <c r="X38" s="963"/>
      <c r="Y38" s="963"/>
      <c r="Z38" s="963"/>
      <c r="AA38" s="963"/>
      <c r="AB38" s="963"/>
      <c r="AC38" s="963"/>
      <c r="AD38" s="963"/>
      <c r="AE38" s="963"/>
      <c r="AF38" s="14" t="s">
        <v>9</v>
      </c>
      <c r="AG38" s="88"/>
      <c r="AH38" s="14" t="s">
        <v>621</v>
      </c>
      <c r="AI38" s="14" t="s">
        <v>306</v>
      </c>
      <c r="AJ38" s="123" t="s">
        <v>372</v>
      </c>
    </row>
    <row r="39" spans="1:36" s="8" customFormat="1" ht="35.25" customHeight="1" hidden="1">
      <c r="A39" s="770" t="s">
        <v>439</v>
      </c>
      <c r="B39" s="89" t="s">
        <v>441</v>
      </c>
      <c r="C39" s="963" t="s">
        <v>443</v>
      </c>
      <c r="D39" s="963"/>
      <c r="E39" s="963"/>
      <c r="F39" s="963"/>
      <c r="G39" s="963"/>
      <c r="H39" s="963"/>
      <c r="I39" s="963"/>
      <c r="J39" s="963"/>
      <c r="K39" s="963"/>
      <c r="L39" s="963"/>
      <c r="M39" s="963"/>
      <c r="N39" s="963"/>
      <c r="O39" s="963"/>
      <c r="P39" s="963"/>
      <c r="Q39" s="963"/>
      <c r="R39" s="963"/>
      <c r="S39" s="963"/>
      <c r="T39" s="963"/>
      <c r="U39" s="963"/>
      <c r="V39" s="963"/>
      <c r="W39" s="963"/>
      <c r="X39" s="963"/>
      <c r="Y39" s="963"/>
      <c r="Z39" s="963"/>
      <c r="AA39" s="963"/>
      <c r="AB39" s="963"/>
      <c r="AC39" s="963"/>
      <c r="AD39" s="963"/>
      <c r="AE39" s="963"/>
      <c r="AF39" s="14" t="s">
        <v>9</v>
      </c>
      <c r="AG39" s="88"/>
      <c r="AH39" s="14" t="s">
        <v>621</v>
      </c>
      <c r="AI39" s="14" t="s">
        <v>444</v>
      </c>
      <c r="AJ39" s="123" t="s">
        <v>372</v>
      </c>
    </row>
    <row r="40" spans="1:36" s="8" customFormat="1" ht="48" customHeight="1">
      <c r="A40" s="770" t="s">
        <v>227</v>
      </c>
      <c r="B40" s="147" t="s">
        <v>89</v>
      </c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796">
        <v>17</v>
      </c>
      <c r="Y40" s="875"/>
      <c r="Z40" s="68">
        <v>60</v>
      </c>
      <c r="AA40" s="68">
        <v>0.5</v>
      </c>
      <c r="AB40" s="68"/>
      <c r="AC40" s="68"/>
      <c r="AD40" s="68"/>
      <c r="AE40" s="68"/>
      <c r="AF40" s="145" t="s">
        <v>15</v>
      </c>
      <c r="AG40" s="145">
        <v>15</v>
      </c>
      <c r="AH40" s="145"/>
      <c r="AI40" s="30"/>
      <c r="AJ40" s="123"/>
    </row>
    <row r="41" spans="1:36" s="8" customFormat="1" ht="33" customHeight="1">
      <c r="A41" s="770" t="s">
        <v>445</v>
      </c>
      <c r="B41" s="147" t="s">
        <v>449</v>
      </c>
      <c r="C41" s="152" t="s">
        <v>450</v>
      </c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796">
        <v>150</v>
      </c>
      <c r="AA41" s="67">
        <v>0.5</v>
      </c>
      <c r="AB41" s="67"/>
      <c r="AC41" s="67"/>
      <c r="AD41" s="67"/>
      <c r="AE41" s="67"/>
      <c r="AF41" s="145" t="s">
        <v>15</v>
      </c>
      <c r="AG41" s="88">
        <v>30</v>
      </c>
      <c r="AH41" s="2" t="s">
        <v>1086</v>
      </c>
      <c r="AI41" s="30" t="s">
        <v>306</v>
      </c>
      <c r="AJ41" s="123" t="s">
        <v>1422</v>
      </c>
    </row>
    <row r="42" spans="1:36" s="8" customFormat="1" ht="49.5" customHeight="1">
      <c r="A42" s="770" t="s">
        <v>446</v>
      </c>
      <c r="B42" s="147" t="s">
        <v>457</v>
      </c>
      <c r="C42" s="152" t="s">
        <v>452</v>
      </c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796">
        <v>60</v>
      </c>
      <c r="AA42" s="79">
        <v>0.5</v>
      </c>
      <c r="AB42" s="79"/>
      <c r="AC42" s="79"/>
      <c r="AD42" s="79"/>
      <c r="AE42" s="79"/>
      <c r="AF42" s="145" t="s">
        <v>15</v>
      </c>
      <c r="AG42" s="88" t="s">
        <v>575</v>
      </c>
      <c r="AH42" s="2" t="s">
        <v>1086</v>
      </c>
      <c r="AI42" s="14" t="s">
        <v>444</v>
      </c>
      <c r="AJ42" s="123" t="s">
        <v>372</v>
      </c>
    </row>
    <row r="43" spans="1:36" s="8" customFormat="1" ht="30.75" customHeight="1">
      <c r="A43" s="770" t="s">
        <v>448</v>
      </c>
      <c r="B43" s="147" t="s">
        <v>458</v>
      </c>
      <c r="C43" s="152" t="s">
        <v>459</v>
      </c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796">
        <v>150</v>
      </c>
      <c r="AA43" s="79">
        <v>0.5</v>
      </c>
      <c r="AB43" s="79"/>
      <c r="AC43" s="79"/>
      <c r="AD43" s="79"/>
      <c r="AE43" s="79"/>
      <c r="AF43" s="145" t="s">
        <v>15</v>
      </c>
      <c r="AG43" s="88">
        <v>150</v>
      </c>
      <c r="AH43" s="2" t="s">
        <v>1086</v>
      </c>
      <c r="AI43" s="14" t="s">
        <v>444</v>
      </c>
      <c r="AJ43" s="123" t="s">
        <v>372</v>
      </c>
    </row>
    <row r="44" spans="1:36" s="3" customFormat="1" ht="22.5" customHeight="1" hidden="1">
      <c r="A44" s="968" t="s">
        <v>228</v>
      </c>
      <c r="B44" s="969" t="s">
        <v>229</v>
      </c>
      <c r="C44" s="970"/>
      <c r="D44" s="970"/>
      <c r="E44" s="970"/>
      <c r="F44" s="970"/>
      <c r="G44" s="970"/>
      <c r="H44" s="970"/>
      <c r="I44" s="970"/>
      <c r="J44" s="970"/>
      <c r="K44" s="970"/>
      <c r="L44" s="970"/>
      <c r="M44" s="970"/>
      <c r="N44" s="970"/>
      <c r="O44" s="970"/>
      <c r="P44" s="970"/>
      <c r="Q44" s="970"/>
      <c r="R44" s="970"/>
      <c r="S44" s="970"/>
      <c r="T44" s="970"/>
      <c r="U44" s="970"/>
      <c r="V44" s="970"/>
      <c r="W44" s="970"/>
      <c r="X44" s="970"/>
      <c r="Y44" s="970"/>
      <c r="Z44" s="970"/>
      <c r="AA44" s="970"/>
      <c r="AB44" s="970"/>
      <c r="AC44" s="970"/>
      <c r="AD44" s="970"/>
      <c r="AE44" s="970"/>
      <c r="AF44" s="971"/>
      <c r="AG44" s="971"/>
      <c r="AH44" s="2" t="s">
        <v>1086</v>
      </c>
      <c r="AI44" s="972"/>
      <c r="AJ44" s="973"/>
    </row>
    <row r="45" spans="1:36" s="8" customFormat="1" ht="30" customHeight="1" hidden="1">
      <c r="A45" s="770" t="s">
        <v>460</v>
      </c>
      <c r="B45" s="147" t="s">
        <v>463</v>
      </c>
      <c r="C45" s="152" t="s">
        <v>545</v>
      </c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45" t="s">
        <v>15</v>
      </c>
      <c r="AG45" s="88"/>
      <c r="AH45" s="2" t="s">
        <v>1086</v>
      </c>
      <c r="AI45" s="14" t="s">
        <v>444</v>
      </c>
      <c r="AJ45" s="123" t="s">
        <v>372</v>
      </c>
    </row>
    <row r="46" spans="1:36" s="8" customFormat="1" ht="36.75" customHeight="1" hidden="1">
      <c r="A46" s="770" t="s">
        <v>461</v>
      </c>
      <c r="B46" s="147" t="s">
        <v>464</v>
      </c>
      <c r="C46" s="152" t="s">
        <v>546</v>
      </c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45" t="s">
        <v>15</v>
      </c>
      <c r="AG46" s="88"/>
      <c r="AH46" s="2" t="s">
        <v>1086</v>
      </c>
      <c r="AI46" s="14" t="s">
        <v>444</v>
      </c>
      <c r="AJ46" s="123" t="s">
        <v>372</v>
      </c>
    </row>
    <row r="47" spans="1:36" s="8" customFormat="1" ht="30.75" customHeight="1" hidden="1">
      <c r="A47" s="770" t="s">
        <v>462</v>
      </c>
      <c r="B47" s="147" t="s">
        <v>465</v>
      </c>
      <c r="C47" s="152" t="s">
        <v>547</v>
      </c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45" t="s">
        <v>15</v>
      </c>
      <c r="AG47" s="88"/>
      <c r="AH47" s="2" t="s">
        <v>1086</v>
      </c>
      <c r="AI47" s="14" t="s">
        <v>444</v>
      </c>
      <c r="AJ47" s="123" t="s">
        <v>372</v>
      </c>
    </row>
    <row r="48" spans="1:36" s="8" customFormat="1" ht="30.75" customHeight="1" hidden="1">
      <c r="A48" s="770" t="s">
        <v>757</v>
      </c>
      <c r="B48" s="928" t="s">
        <v>758</v>
      </c>
      <c r="C48" s="928" t="s">
        <v>756</v>
      </c>
      <c r="D48" s="928"/>
      <c r="E48" s="928"/>
      <c r="F48" s="928"/>
      <c r="G48" s="928"/>
      <c r="H48" s="928"/>
      <c r="I48" s="928"/>
      <c r="J48" s="928"/>
      <c r="K48" s="928"/>
      <c r="L48" s="928"/>
      <c r="M48" s="928"/>
      <c r="N48" s="928"/>
      <c r="O48" s="928"/>
      <c r="P48" s="928"/>
      <c r="Q48" s="928"/>
      <c r="R48" s="928"/>
      <c r="S48" s="928"/>
      <c r="T48" s="928"/>
      <c r="U48" s="928"/>
      <c r="V48" s="928"/>
      <c r="W48" s="928"/>
      <c r="X48" s="928"/>
      <c r="Y48" s="928"/>
      <c r="Z48" s="928"/>
      <c r="AA48" s="928"/>
      <c r="AB48" s="928"/>
      <c r="AC48" s="928"/>
      <c r="AD48" s="928"/>
      <c r="AE48" s="928"/>
      <c r="AF48" s="145"/>
      <c r="AG48" s="88"/>
      <c r="AH48" s="2" t="s">
        <v>1086</v>
      </c>
      <c r="AI48" s="14"/>
      <c r="AJ48" s="123"/>
    </row>
    <row r="49" spans="1:36" s="8" customFormat="1" ht="30.75" customHeight="1" hidden="1">
      <c r="A49" s="770" t="s">
        <v>812</v>
      </c>
      <c r="B49" s="759" t="s">
        <v>813</v>
      </c>
      <c r="C49" s="983" t="s">
        <v>814</v>
      </c>
      <c r="D49" s="983"/>
      <c r="E49" s="983"/>
      <c r="F49" s="983"/>
      <c r="G49" s="983"/>
      <c r="H49" s="983"/>
      <c r="I49" s="983"/>
      <c r="J49" s="983"/>
      <c r="K49" s="983"/>
      <c r="L49" s="983"/>
      <c r="M49" s="983"/>
      <c r="N49" s="983"/>
      <c r="O49" s="983"/>
      <c r="P49" s="983"/>
      <c r="Q49" s="983"/>
      <c r="R49" s="983"/>
      <c r="S49" s="983"/>
      <c r="T49" s="983"/>
      <c r="U49" s="983"/>
      <c r="V49" s="983"/>
      <c r="W49" s="983"/>
      <c r="X49" s="983"/>
      <c r="Y49" s="983"/>
      <c r="Z49" s="983"/>
      <c r="AA49" s="983"/>
      <c r="AB49" s="983"/>
      <c r="AC49" s="983"/>
      <c r="AD49" s="983"/>
      <c r="AE49" s="983"/>
      <c r="AF49" s="974" t="s">
        <v>815</v>
      </c>
      <c r="AG49" s="88"/>
      <c r="AH49" s="2" t="s">
        <v>1086</v>
      </c>
      <c r="AI49" s="14"/>
      <c r="AJ49" s="123"/>
    </row>
    <row r="50" spans="1:36" s="3" customFormat="1" ht="30.75" customHeight="1" hidden="1">
      <c r="A50" s="968" t="s">
        <v>230</v>
      </c>
      <c r="B50" s="969" t="s">
        <v>468</v>
      </c>
      <c r="C50" s="970" t="s">
        <v>34</v>
      </c>
      <c r="D50" s="970"/>
      <c r="E50" s="970"/>
      <c r="F50" s="970"/>
      <c r="G50" s="970"/>
      <c r="H50" s="970"/>
      <c r="I50" s="970"/>
      <c r="J50" s="970"/>
      <c r="K50" s="970"/>
      <c r="L50" s="970"/>
      <c r="M50" s="970"/>
      <c r="N50" s="970"/>
      <c r="O50" s="970"/>
      <c r="P50" s="970"/>
      <c r="Q50" s="970"/>
      <c r="R50" s="970"/>
      <c r="S50" s="970"/>
      <c r="T50" s="970"/>
      <c r="U50" s="970"/>
      <c r="V50" s="970"/>
      <c r="W50" s="970"/>
      <c r="X50" s="970"/>
      <c r="Y50" s="970"/>
      <c r="Z50" s="970"/>
      <c r="AA50" s="970"/>
      <c r="AB50" s="970"/>
      <c r="AC50" s="970"/>
      <c r="AD50" s="970"/>
      <c r="AE50" s="970"/>
      <c r="AF50" s="971"/>
      <c r="AG50" s="971"/>
      <c r="AH50" s="2" t="s">
        <v>1086</v>
      </c>
      <c r="AI50" s="972"/>
      <c r="AJ50" s="973"/>
    </row>
    <row r="51" spans="1:36" s="8" customFormat="1" ht="30.75" customHeight="1">
      <c r="A51" s="770" t="s">
        <v>1410</v>
      </c>
      <c r="B51" s="984" t="s">
        <v>1411</v>
      </c>
      <c r="C51" s="985"/>
      <c r="D51" s="985"/>
      <c r="E51" s="985"/>
      <c r="F51" s="985"/>
      <c r="G51" s="985"/>
      <c r="H51" s="985"/>
      <c r="I51" s="985"/>
      <c r="J51" s="985"/>
      <c r="K51" s="985"/>
      <c r="L51" s="985"/>
      <c r="M51" s="985"/>
      <c r="N51" s="985"/>
      <c r="O51" s="985"/>
      <c r="P51" s="985"/>
      <c r="Q51" s="985"/>
      <c r="R51" s="985"/>
      <c r="S51" s="985"/>
      <c r="T51" s="985"/>
      <c r="U51" s="985"/>
      <c r="V51" s="985"/>
      <c r="W51" s="985"/>
      <c r="X51" s="985"/>
      <c r="Y51" s="985"/>
      <c r="Z51" s="985"/>
      <c r="AA51" s="985"/>
      <c r="AB51" s="557">
        <v>32</v>
      </c>
      <c r="AC51" s="557">
        <v>43</v>
      </c>
      <c r="AD51" s="557">
        <v>96</v>
      </c>
      <c r="AE51" s="557">
        <v>4.52</v>
      </c>
      <c r="AF51" s="145"/>
      <c r="AG51" s="150"/>
      <c r="AH51" s="2" t="s">
        <v>1086</v>
      </c>
      <c r="AI51" s="30" t="s">
        <v>306</v>
      </c>
      <c r="AJ51" s="123" t="s">
        <v>306</v>
      </c>
    </row>
    <row r="52" spans="1:36" s="8" customFormat="1" ht="36.75" customHeight="1">
      <c r="A52" s="770" t="s">
        <v>466</v>
      </c>
      <c r="B52" s="147" t="s">
        <v>467</v>
      </c>
      <c r="C52" s="152" t="s">
        <v>33</v>
      </c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45" t="s">
        <v>81</v>
      </c>
      <c r="AG52" s="88"/>
      <c r="AH52" s="2" t="s">
        <v>1086</v>
      </c>
      <c r="AI52" s="30" t="s">
        <v>306</v>
      </c>
      <c r="AJ52" s="123" t="s">
        <v>372</v>
      </c>
    </row>
    <row r="53" spans="1:36" s="8" customFormat="1" ht="36.75" customHeight="1">
      <c r="A53" s="770" t="s">
        <v>570</v>
      </c>
      <c r="B53" s="147" t="s">
        <v>1423</v>
      </c>
      <c r="C53" s="152" t="s">
        <v>1424</v>
      </c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45" t="s">
        <v>333</v>
      </c>
      <c r="AG53" s="88">
        <v>32</v>
      </c>
      <c r="AH53" s="2" t="s">
        <v>1086</v>
      </c>
      <c r="AI53" s="30" t="s">
        <v>918</v>
      </c>
      <c r="AJ53" s="123" t="s">
        <v>918</v>
      </c>
    </row>
    <row r="54" spans="1:36" s="8" customFormat="1" ht="36.75" customHeight="1">
      <c r="A54" s="770" t="s">
        <v>237</v>
      </c>
      <c r="B54" s="147" t="s">
        <v>1425</v>
      </c>
      <c r="C54" s="152" t="s">
        <v>1426</v>
      </c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557">
        <v>240</v>
      </c>
      <c r="AC54" s="557">
        <v>0</v>
      </c>
      <c r="AD54" s="557">
        <v>240</v>
      </c>
      <c r="AE54" s="557">
        <v>2.83</v>
      </c>
      <c r="AF54" s="145" t="s">
        <v>35</v>
      </c>
      <c r="AG54" s="88">
        <v>30</v>
      </c>
      <c r="AH54" s="2" t="s">
        <v>1086</v>
      </c>
      <c r="AI54" s="30" t="s">
        <v>918</v>
      </c>
      <c r="AJ54" s="123" t="s">
        <v>918</v>
      </c>
    </row>
    <row r="55" spans="1:36" s="8" customFormat="1" ht="36.75" customHeight="1">
      <c r="A55" s="770" t="s">
        <v>741</v>
      </c>
      <c r="B55" s="147" t="s">
        <v>1427</v>
      </c>
      <c r="C55" s="152" t="s">
        <v>34</v>
      </c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45" t="s">
        <v>35</v>
      </c>
      <c r="AG55" s="88" t="s">
        <v>575</v>
      </c>
      <c r="AH55" s="2" t="s">
        <v>1086</v>
      </c>
      <c r="AI55" s="30" t="s">
        <v>918</v>
      </c>
      <c r="AJ55" s="123" t="s">
        <v>918</v>
      </c>
    </row>
    <row r="56" spans="1:36" s="21" customFormat="1" ht="36.75" customHeight="1">
      <c r="A56" s="601" t="s">
        <v>618</v>
      </c>
      <c r="B56" s="33" t="s">
        <v>619</v>
      </c>
      <c r="C56" s="92" t="s">
        <v>64</v>
      </c>
      <c r="D56" s="91"/>
      <c r="E56" s="2"/>
      <c r="F56" s="91">
        <v>10</v>
      </c>
      <c r="G56" s="129">
        <v>12.45</v>
      </c>
      <c r="H56" s="55"/>
      <c r="I56" s="55"/>
      <c r="J56" s="55"/>
      <c r="K56" s="55"/>
      <c r="L56" s="55"/>
      <c r="M56" s="55"/>
      <c r="N56" s="55"/>
      <c r="O56" s="55"/>
      <c r="P56" s="145">
        <v>230</v>
      </c>
      <c r="Q56" s="55">
        <v>0</v>
      </c>
      <c r="R56" s="145">
        <v>0</v>
      </c>
      <c r="S56" s="145">
        <v>0</v>
      </c>
      <c r="T56" s="145"/>
      <c r="U56" s="145"/>
      <c r="V56" s="145">
        <v>65</v>
      </c>
      <c r="W56" s="145">
        <v>8.82</v>
      </c>
      <c r="X56" s="55"/>
      <c r="Y56" s="55"/>
      <c r="Z56" s="55"/>
      <c r="AA56" s="55"/>
      <c r="AB56" s="55"/>
      <c r="AC56" s="55"/>
      <c r="AD56" s="55"/>
      <c r="AE56" s="55"/>
      <c r="AF56" s="145" t="s">
        <v>9</v>
      </c>
      <c r="AG56" s="145" t="s">
        <v>865</v>
      </c>
      <c r="AH56" s="145" t="s">
        <v>621</v>
      </c>
      <c r="AI56" s="145" t="s">
        <v>306</v>
      </c>
      <c r="AJ56" s="116" t="s">
        <v>306</v>
      </c>
    </row>
    <row r="57" spans="1:36" s="21" customFormat="1" ht="36.75" customHeight="1">
      <c r="A57" s="975" t="s">
        <v>1428</v>
      </c>
      <c r="B57" s="101" t="s">
        <v>1429</v>
      </c>
      <c r="C57" s="92" t="s">
        <v>1430</v>
      </c>
      <c r="D57" s="91"/>
      <c r="E57" s="2"/>
      <c r="F57" s="91">
        <v>21</v>
      </c>
      <c r="G57" s="129">
        <v>16</v>
      </c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145"/>
      <c r="U57" s="145"/>
      <c r="V57" s="145">
        <v>203</v>
      </c>
      <c r="W57" s="145">
        <v>3.19</v>
      </c>
      <c r="X57" s="55"/>
      <c r="Y57" s="55"/>
      <c r="Z57" s="55"/>
      <c r="AA57" s="55"/>
      <c r="AB57" s="55"/>
      <c r="AC57" s="55"/>
      <c r="AD57" s="55"/>
      <c r="AE57" s="55"/>
      <c r="AF57" s="145" t="s">
        <v>9</v>
      </c>
      <c r="AG57" s="145">
        <v>30</v>
      </c>
      <c r="AH57" s="145"/>
      <c r="AI57" s="145"/>
      <c r="AJ57" s="116"/>
    </row>
    <row r="58" spans="1:36" s="21" customFormat="1" ht="36.75" customHeight="1">
      <c r="A58" s="975" t="s">
        <v>1431</v>
      </c>
      <c r="B58" s="101" t="s">
        <v>1432</v>
      </c>
      <c r="C58" s="92" t="s">
        <v>642</v>
      </c>
      <c r="D58" s="91"/>
      <c r="E58" s="2"/>
      <c r="F58" s="91">
        <v>84</v>
      </c>
      <c r="G58" s="91">
        <v>8.4</v>
      </c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145"/>
      <c r="U58" s="145"/>
      <c r="V58" s="145">
        <v>679</v>
      </c>
      <c r="W58" s="145">
        <v>20</v>
      </c>
      <c r="X58" s="55"/>
      <c r="Y58" s="55"/>
      <c r="Z58" s="55"/>
      <c r="AA58" s="55"/>
      <c r="AB58" s="55"/>
      <c r="AC58" s="55"/>
      <c r="AD58" s="55"/>
      <c r="AE58" s="55"/>
      <c r="AF58" s="145" t="s">
        <v>15</v>
      </c>
      <c r="AG58" s="145">
        <v>30</v>
      </c>
      <c r="AH58" s="145"/>
      <c r="AI58" s="145"/>
      <c r="AJ58" s="116"/>
    </row>
    <row r="59" spans="1:36" s="8" customFormat="1" ht="36.75" customHeight="1" thickBot="1">
      <c r="A59" s="976" t="s">
        <v>1433</v>
      </c>
      <c r="B59" s="285" t="s">
        <v>1434</v>
      </c>
      <c r="C59" s="158" t="s">
        <v>1435</v>
      </c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74" t="s">
        <v>575</v>
      </c>
      <c r="Y59" s="56">
        <v>860</v>
      </c>
      <c r="Z59" s="74" t="s">
        <v>575</v>
      </c>
      <c r="AA59" s="74">
        <v>7.5</v>
      </c>
      <c r="AB59" s="74"/>
      <c r="AC59" s="74"/>
      <c r="AD59" s="74"/>
      <c r="AE59" s="74"/>
      <c r="AF59" s="126"/>
      <c r="AG59" s="977"/>
      <c r="AH59" s="126"/>
      <c r="AI59" s="978"/>
      <c r="AJ59" s="979"/>
    </row>
    <row r="60" spans="1:36" ht="18.75" customHeight="1" thickBot="1">
      <c r="A60" s="122"/>
      <c r="B60" s="1405" t="s">
        <v>90</v>
      </c>
      <c r="C60" s="1405"/>
      <c r="D60" s="165">
        <f>SUM(D6:D59)</f>
        <v>385</v>
      </c>
      <c r="E60" s="165">
        <f aca="true" t="shared" si="0" ref="E60:AE60">SUM(E6:E59)</f>
        <v>121</v>
      </c>
      <c r="F60" s="165">
        <f t="shared" si="0"/>
        <v>568</v>
      </c>
      <c r="G60" s="165">
        <f t="shared" si="0"/>
        <v>153.9</v>
      </c>
      <c r="H60" s="165">
        <f t="shared" si="0"/>
        <v>270</v>
      </c>
      <c r="I60" s="165">
        <f t="shared" si="0"/>
        <v>102</v>
      </c>
      <c r="J60" s="165">
        <f t="shared" si="0"/>
        <v>600</v>
      </c>
      <c r="K60" s="165">
        <f t="shared" si="0"/>
        <v>10.5</v>
      </c>
      <c r="L60" s="165">
        <f t="shared" si="0"/>
        <v>0</v>
      </c>
      <c r="M60" s="165">
        <f t="shared" si="0"/>
        <v>0</v>
      </c>
      <c r="N60" s="165">
        <f t="shared" si="0"/>
        <v>65</v>
      </c>
      <c r="O60" s="165">
        <f t="shared" si="0"/>
        <v>24.85</v>
      </c>
      <c r="P60" s="165">
        <f t="shared" si="0"/>
        <v>335</v>
      </c>
      <c r="Q60" s="165">
        <f t="shared" si="0"/>
        <v>69</v>
      </c>
      <c r="R60" s="165">
        <f t="shared" si="0"/>
        <v>99</v>
      </c>
      <c r="S60" s="165">
        <f t="shared" si="0"/>
        <v>14.5</v>
      </c>
      <c r="T60" s="165">
        <f t="shared" si="0"/>
        <v>954</v>
      </c>
      <c r="U60" s="165">
        <f t="shared" si="0"/>
        <v>0</v>
      </c>
      <c r="V60" s="165">
        <f t="shared" si="0"/>
        <v>2104</v>
      </c>
      <c r="W60" s="165">
        <f t="shared" si="0"/>
        <v>46.02</v>
      </c>
      <c r="X60" s="165">
        <f t="shared" si="0"/>
        <v>17</v>
      </c>
      <c r="Y60" s="165">
        <f t="shared" si="0"/>
        <v>860</v>
      </c>
      <c r="Z60" s="165">
        <f t="shared" si="0"/>
        <v>422</v>
      </c>
      <c r="AA60" s="165">
        <f t="shared" si="0"/>
        <v>11.5</v>
      </c>
      <c r="AB60" s="165">
        <f t="shared" si="0"/>
        <v>772</v>
      </c>
      <c r="AC60" s="165">
        <f t="shared" si="0"/>
        <v>43</v>
      </c>
      <c r="AD60" s="165">
        <f t="shared" si="0"/>
        <v>1336</v>
      </c>
      <c r="AE60" s="165">
        <f t="shared" si="0"/>
        <v>26.089999999999996</v>
      </c>
      <c r="AF60" s="165"/>
      <c r="AG60" s="165"/>
      <c r="AH60" s="165"/>
      <c r="AI60" s="165"/>
      <c r="AJ60" s="124"/>
    </row>
    <row r="61" spans="1:36" s="8" customFormat="1" ht="18" customHeight="1">
      <c r="A61" s="27"/>
      <c r="B61" s="19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</row>
  </sheetData>
  <sheetProtection/>
  <mergeCells count="44">
    <mergeCell ref="AF28:AF30"/>
    <mergeCell ref="AG28:AG30"/>
    <mergeCell ref="AF35:AF37"/>
    <mergeCell ref="AG35:AG37"/>
    <mergeCell ref="B60:C60"/>
    <mergeCell ref="AJ4:AJ5"/>
    <mergeCell ref="AB4:AC4"/>
    <mergeCell ref="AD4:AE4"/>
    <mergeCell ref="AF4:AF5"/>
    <mergeCell ref="AG4:AG5"/>
    <mergeCell ref="A6:A13"/>
    <mergeCell ref="B7:B8"/>
    <mergeCell ref="Z7:Z12"/>
    <mergeCell ref="AA7:AA12"/>
    <mergeCell ref="AF22:AF24"/>
    <mergeCell ref="AG22:AG24"/>
    <mergeCell ref="AH4:AH5"/>
    <mergeCell ref="AI4:AI5"/>
    <mergeCell ref="P4:Q4"/>
    <mergeCell ref="R4:S4"/>
    <mergeCell ref="T4:U4"/>
    <mergeCell ref="V4:W4"/>
    <mergeCell ref="X4:Y4"/>
    <mergeCell ref="Z4:AA4"/>
    <mergeCell ref="AF3:AJ3"/>
    <mergeCell ref="A4:A5"/>
    <mergeCell ref="B4:B5"/>
    <mergeCell ref="C4:C5"/>
    <mergeCell ref="D4:E4"/>
    <mergeCell ref="F4:G4"/>
    <mergeCell ref="H4:I4"/>
    <mergeCell ref="J4:K4"/>
    <mergeCell ref="L4:M4"/>
    <mergeCell ref="N4:O4"/>
    <mergeCell ref="A1:AJ1"/>
    <mergeCell ref="A2:AJ2"/>
    <mergeCell ref="A3:C3"/>
    <mergeCell ref="D3:G3"/>
    <mergeCell ref="H3:K3"/>
    <mergeCell ref="L3:O3"/>
    <mergeCell ref="P3:S3"/>
    <mergeCell ref="T3:W3"/>
    <mergeCell ref="X3:AA3"/>
    <mergeCell ref="AB3:AE3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K39"/>
  <sheetViews>
    <sheetView zoomScale="70" zoomScaleNormal="7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D13" sqref="D13"/>
    </sheetView>
  </sheetViews>
  <sheetFormatPr defaultColWidth="9.140625" defaultRowHeight="18" customHeight="1"/>
  <cols>
    <col min="1" max="1" width="13.140625" style="4" customWidth="1"/>
    <col min="2" max="2" width="34.7109375" style="18" customWidth="1"/>
    <col min="3" max="3" width="22.28125" style="10" customWidth="1"/>
    <col min="4" max="31" width="6.7109375" style="10" customWidth="1"/>
    <col min="32" max="32" width="15.57421875" style="4" customWidth="1"/>
    <col min="33" max="33" width="16.57421875" style="4" customWidth="1"/>
    <col min="34" max="34" width="29.7109375" style="4" customWidth="1"/>
    <col min="35" max="35" width="14.57421875" style="4" customWidth="1"/>
    <col min="36" max="36" width="22.8515625" style="4" customWidth="1"/>
    <col min="37" max="37" width="31.28125" style="4" hidden="1" customWidth="1"/>
    <col min="38" max="16384" width="9.140625" style="4" customWidth="1"/>
  </cols>
  <sheetData>
    <row r="1" spans="1:37" ht="28.5" customHeight="1" thickBot="1">
      <c r="A1" s="1440" t="s">
        <v>82</v>
      </c>
      <c r="B1" s="1441"/>
      <c r="C1" s="1441"/>
      <c r="D1" s="1441"/>
      <c r="E1" s="1441"/>
      <c r="F1" s="1441"/>
      <c r="G1" s="1441"/>
      <c r="H1" s="1441"/>
      <c r="I1" s="1441"/>
      <c r="J1" s="1441"/>
      <c r="K1" s="1441"/>
      <c r="L1" s="1441"/>
      <c r="M1" s="1441"/>
      <c r="N1" s="1441"/>
      <c r="O1" s="1441"/>
      <c r="P1" s="1441"/>
      <c r="Q1" s="1441"/>
      <c r="R1" s="1441"/>
      <c r="S1" s="1441"/>
      <c r="T1" s="1441"/>
      <c r="U1" s="1441"/>
      <c r="V1" s="1441"/>
      <c r="W1" s="1441"/>
      <c r="X1" s="1441"/>
      <c r="Y1" s="1441"/>
      <c r="Z1" s="1441"/>
      <c r="AA1" s="1441"/>
      <c r="AB1" s="1441"/>
      <c r="AC1" s="1441"/>
      <c r="AD1" s="1441"/>
      <c r="AE1" s="1441"/>
      <c r="AF1" s="1441"/>
      <c r="AG1" s="1441"/>
      <c r="AH1" s="1441"/>
      <c r="AI1" s="1441"/>
      <c r="AJ1" s="1441"/>
      <c r="AK1" s="1385"/>
    </row>
    <row r="2" spans="1:37" ht="22.5" customHeight="1" thickBot="1">
      <c r="A2" s="1442" t="s">
        <v>550</v>
      </c>
      <c r="B2" s="1443"/>
      <c r="C2" s="1443"/>
      <c r="D2" s="1443"/>
      <c r="E2" s="1443"/>
      <c r="F2" s="1443"/>
      <c r="G2" s="1443"/>
      <c r="H2" s="1443"/>
      <c r="I2" s="1443"/>
      <c r="J2" s="1443"/>
      <c r="K2" s="1443"/>
      <c r="L2" s="1443"/>
      <c r="M2" s="1443"/>
      <c r="N2" s="1443"/>
      <c r="O2" s="1443"/>
      <c r="P2" s="1443"/>
      <c r="Q2" s="1443"/>
      <c r="R2" s="1443"/>
      <c r="S2" s="1443"/>
      <c r="T2" s="1443"/>
      <c r="U2" s="1443"/>
      <c r="V2" s="1443"/>
      <c r="W2" s="1443"/>
      <c r="X2" s="1443"/>
      <c r="Y2" s="1443"/>
      <c r="Z2" s="1443"/>
      <c r="AA2" s="1443"/>
      <c r="AB2" s="1443"/>
      <c r="AC2" s="1443"/>
      <c r="AD2" s="1443"/>
      <c r="AE2" s="1443"/>
      <c r="AF2" s="1443"/>
      <c r="AG2" s="1443"/>
      <c r="AH2" s="1443"/>
      <c r="AI2" s="1443"/>
      <c r="AJ2" s="1443"/>
      <c r="AK2" s="1444"/>
    </row>
    <row r="3" spans="1:37" ht="16.5" thickBot="1">
      <c r="A3" s="400"/>
      <c r="B3" s="401"/>
      <c r="C3" s="401"/>
      <c r="D3" s="1114" t="s">
        <v>1105</v>
      </c>
      <c r="E3" s="1115"/>
      <c r="F3" s="1115"/>
      <c r="G3" s="1116"/>
      <c r="H3" s="1114" t="s">
        <v>1106</v>
      </c>
      <c r="I3" s="1115"/>
      <c r="J3" s="1115"/>
      <c r="K3" s="1116"/>
      <c r="L3" s="1114" t="s">
        <v>1107</v>
      </c>
      <c r="M3" s="1115"/>
      <c r="N3" s="1115"/>
      <c r="O3" s="1116"/>
      <c r="P3" s="1114" t="s">
        <v>1108</v>
      </c>
      <c r="Q3" s="1115"/>
      <c r="R3" s="1115"/>
      <c r="S3" s="1116"/>
      <c r="T3" s="1114" t="s">
        <v>1109</v>
      </c>
      <c r="U3" s="1115"/>
      <c r="V3" s="1115"/>
      <c r="W3" s="1116"/>
      <c r="X3" s="1114" t="s">
        <v>1110</v>
      </c>
      <c r="Y3" s="1115"/>
      <c r="Z3" s="1115"/>
      <c r="AA3" s="1116"/>
      <c r="AB3" s="1114" t="s">
        <v>1172</v>
      </c>
      <c r="AC3" s="1115"/>
      <c r="AD3" s="1115"/>
      <c r="AE3" s="1116"/>
      <c r="AF3" s="401"/>
      <c r="AG3" s="401"/>
      <c r="AH3" s="401"/>
      <c r="AI3" s="401"/>
      <c r="AJ3" s="401"/>
      <c r="AK3" s="402"/>
    </row>
    <row r="4" spans="1:37" ht="18" customHeight="1">
      <c r="A4" s="1413" t="s">
        <v>116</v>
      </c>
      <c r="B4" s="1414" t="s">
        <v>2</v>
      </c>
      <c r="C4" s="1414" t="s">
        <v>3</v>
      </c>
      <c r="D4" s="1397" t="s">
        <v>112</v>
      </c>
      <c r="E4" s="1397"/>
      <c r="F4" s="1397" t="s">
        <v>113</v>
      </c>
      <c r="G4" s="1397"/>
      <c r="H4" s="1397" t="s">
        <v>112</v>
      </c>
      <c r="I4" s="1397"/>
      <c r="J4" s="1397" t="s">
        <v>113</v>
      </c>
      <c r="K4" s="1397"/>
      <c r="L4" s="1397" t="s">
        <v>112</v>
      </c>
      <c r="M4" s="1397"/>
      <c r="N4" s="1397" t="s">
        <v>113</v>
      </c>
      <c r="O4" s="1397"/>
      <c r="P4" s="1397" t="s">
        <v>112</v>
      </c>
      <c r="Q4" s="1397"/>
      <c r="R4" s="1397" t="s">
        <v>113</v>
      </c>
      <c r="S4" s="1397"/>
      <c r="T4" s="1397" t="s">
        <v>112</v>
      </c>
      <c r="U4" s="1397"/>
      <c r="V4" s="1397" t="s">
        <v>113</v>
      </c>
      <c r="W4" s="1397"/>
      <c r="X4" s="1397" t="s">
        <v>112</v>
      </c>
      <c r="Y4" s="1397"/>
      <c r="Z4" s="1397" t="s">
        <v>113</v>
      </c>
      <c r="AA4" s="1397"/>
      <c r="AB4" s="1397" t="s">
        <v>112</v>
      </c>
      <c r="AC4" s="1397"/>
      <c r="AD4" s="1397" t="s">
        <v>113</v>
      </c>
      <c r="AE4" s="1397"/>
      <c r="AF4" s="1397" t="s">
        <v>4</v>
      </c>
      <c r="AG4" s="1397" t="s">
        <v>122</v>
      </c>
      <c r="AH4" s="1416" t="s">
        <v>5</v>
      </c>
      <c r="AI4" s="1416" t="s">
        <v>83</v>
      </c>
      <c r="AJ4" s="1416" t="s">
        <v>84</v>
      </c>
      <c r="AK4" s="1445" t="s">
        <v>266</v>
      </c>
    </row>
    <row r="5" spans="1:37" ht="97.5" customHeight="1" thickBot="1">
      <c r="A5" s="1272"/>
      <c r="B5" s="1415"/>
      <c r="C5" s="1415"/>
      <c r="D5" s="25" t="s">
        <v>6</v>
      </c>
      <c r="E5" s="25" t="s">
        <v>7</v>
      </c>
      <c r="F5" s="25" t="s">
        <v>6</v>
      </c>
      <c r="G5" s="25" t="s">
        <v>96</v>
      </c>
      <c r="H5" s="25" t="s">
        <v>6</v>
      </c>
      <c r="I5" s="25" t="s">
        <v>7</v>
      </c>
      <c r="J5" s="25" t="s">
        <v>6</v>
      </c>
      <c r="K5" s="25" t="s">
        <v>96</v>
      </c>
      <c r="L5" s="25" t="s">
        <v>6</v>
      </c>
      <c r="M5" s="25" t="s">
        <v>7</v>
      </c>
      <c r="N5" s="25" t="s">
        <v>6</v>
      </c>
      <c r="O5" s="25" t="s">
        <v>96</v>
      </c>
      <c r="P5" s="25" t="s">
        <v>6</v>
      </c>
      <c r="Q5" s="25" t="s">
        <v>7</v>
      </c>
      <c r="R5" s="25" t="s">
        <v>6</v>
      </c>
      <c r="S5" s="25" t="s">
        <v>96</v>
      </c>
      <c r="T5" s="25" t="s">
        <v>6</v>
      </c>
      <c r="U5" s="25" t="s">
        <v>7</v>
      </c>
      <c r="V5" s="25" t="s">
        <v>6</v>
      </c>
      <c r="W5" s="25" t="s">
        <v>96</v>
      </c>
      <c r="X5" s="25" t="s">
        <v>6</v>
      </c>
      <c r="Y5" s="25" t="s">
        <v>7</v>
      </c>
      <c r="Z5" s="25" t="s">
        <v>6</v>
      </c>
      <c r="AA5" s="25" t="s">
        <v>96</v>
      </c>
      <c r="AB5" s="25" t="s">
        <v>6</v>
      </c>
      <c r="AC5" s="25" t="s">
        <v>7</v>
      </c>
      <c r="AD5" s="25" t="s">
        <v>6</v>
      </c>
      <c r="AE5" s="25" t="s">
        <v>96</v>
      </c>
      <c r="AF5" s="1118"/>
      <c r="AG5" s="1118"/>
      <c r="AH5" s="1417"/>
      <c r="AI5" s="1417"/>
      <c r="AJ5" s="1417"/>
      <c r="AK5" s="1446"/>
    </row>
    <row r="6" spans="1:37" s="8" customFormat="1" ht="30" hidden="1">
      <c r="A6" s="1069" t="s">
        <v>220</v>
      </c>
      <c r="B6" s="33" t="s">
        <v>627</v>
      </c>
      <c r="C6" s="152" t="s">
        <v>665</v>
      </c>
      <c r="D6" s="986"/>
      <c r="E6" s="986"/>
      <c r="F6" s="986"/>
      <c r="G6" s="986"/>
      <c r="H6" s="986"/>
      <c r="I6" s="986"/>
      <c r="J6" s="986"/>
      <c r="K6" s="986"/>
      <c r="L6" s="986"/>
      <c r="M6" s="986"/>
      <c r="N6" s="986"/>
      <c r="O6" s="986"/>
      <c r="P6" s="986"/>
      <c r="Q6" s="986"/>
      <c r="R6" s="986"/>
      <c r="S6" s="986"/>
      <c r="T6" s="986"/>
      <c r="U6" s="986"/>
      <c r="V6" s="986"/>
      <c r="W6" s="986"/>
      <c r="X6" s="986"/>
      <c r="Y6" s="986"/>
      <c r="Z6" s="986"/>
      <c r="AA6" s="986"/>
      <c r="AB6" s="986"/>
      <c r="AC6" s="986"/>
      <c r="AD6" s="986"/>
      <c r="AE6" s="986"/>
      <c r="AF6" s="88" t="s">
        <v>73</v>
      </c>
      <c r="AG6" s="88" t="s">
        <v>334</v>
      </c>
      <c r="AH6" s="88" t="s">
        <v>86</v>
      </c>
      <c r="AI6" s="88" t="s">
        <v>306</v>
      </c>
      <c r="AJ6" s="30" t="s">
        <v>372</v>
      </c>
      <c r="AK6" s="718"/>
    </row>
    <row r="7" spans="1:37" s="8" customFormat="1" ht="18" customHeight="1" hidden="1">
      <c r="A7" s="1070"/>
      <c r="B7" s="1145" t="s">
        <v>1389</v>
      </c>
      <c r="C7" s="152" t="s">
        <v>563</v>
      </c>
      <c r="D7" s="986"/>
      <c r="E7" s="986"/>
      <c r="F7" s="986"/>
      <c r="G7" s="986"/>
      <c r="H7" s="986"/>
      <c r="I7" s="986"/>
      <c r="J7" s="986"/>
      <c r="K7" s="986"/>
      <c r="L7" s="986"/>
      <c r="M7" s="986"/>
      <c r="N7" s="986"/>
      <c r="O7" s="986"/>
      <c r="P7" s="986"/>
      <c r="Q7" s="986"/>
      <c r="R7" s="986"/>
      <c r="S7" s="986"/>
      <c r="T7" s="986"/>
      <c r="U7" s="986"/>
      <c r="V7" s="986"/>
      <c r="W7" s="986"/>
      <c r="X7" s="986"/>
      <c r="Y7" s="986"/>
      <c r="Z7" s="986"/>
      <c r="AA7" s="986"/>
      <c r="AB7" s="986"/>
      <c r="AC7" s="986"/>
      <c r="AD7" s="986"/>
      <c r="AE7" s="986"/>
      <c r="AF7" s="68" t="s">
        <v>69</v>
      </c>
      <c r="AG7" s="354" t="s">
        <v>1436</v>
      </c>
      <c r="AH7" s="68" t="s">
        <v>86</v>
      </c>
      <c r="AI7" s="68" t="s">
        <v>610</v>
      </c>
      <c r="AJ7" s="68" t="s">
        <v>306</v>
      </c>
      <c r="AK7" s="718"/>
    </row>
    <row r="8" spans="1:37" s="8" customFormat="1" ht="22.5" customHeight="1" hidden="1">
      <c r="A8" s="1070"/>
      <c r="B8" s="1147"/>
      <c r="C8" s="152" t="s">
        <v>1390</v>
      </c>
      <c r="D8" s="986"/>
      <c r="E8" s="986"/>
      <c r="F8" s="986"/>
      <c r="G8" s="986"/>
      <c r="H8" s="986"/>
      <c r="I8" s="986"/>
      <c r="J8" s="986"/>
      <c r="K8" s="986"/>
      <c r="L8" s="986"/>
      <c r="M8" s="986"/>
      <c r="N8" s="986"/>
      <c r="O8" s="986"/>
      <c r="P8" s="986"/>
      <c r="Q8" s="986"/>
      <c r="R8" s="986"/>
      <c r="S8" s="986"/>
      <c r="T8" s="986"/>
      <c r="U8" s="986"/>
      <c r="V8" s="986"/>
      <c r="W8" s="986"/>
      <c r="X8" s="986"/>
      <c r="Y8" s="986"/>
      <c r="Z8" s="986"/>
      <c r="AA8" s="986"/>
      <c r="AB8" s="986"/>
      <c r="AC8" s="986"/>
      <c r="AD8" s="986"/>
      <c r="AE8" s="986"/>
      <c r="AF8" s="68" t="s">
        <v>69</v>
      </c>
      <c r="AG8" s="354" t="s">
        <v>1436</v>
      </c>
      <c r="AH8" s="68" t="s">
        <v>86</v>
      </c>
      <c r="AI8" s="68" t="s">
        <v>610</v>
      </c>
      <c r="AJ8" s="68" t="s">
        <v>306</v>
      </c>
      <c r="AK8" s="718"/>
    </row>
    <row r="9" spans="1:37" s="8" customFormat="1" ht="44.25" customHeight="1" hidden="1">
      <c r="A9" s="1070"/>
      <c r="B9" s="33" t="s">
        <v>1391</v>
      </c>
      <c r="C9" s="614" t="s">
        <v>1392</v>
      </c>
      <c r="D9" s="986"/>
      <c r="E9" s="986"/>
      <c r="F9" s="986"/>
      <c r="G9" s="986"/>
      <c r="H9" s="986"/>
      <c r="I9" s="986"/>
      <c r="J9" s="986"/>
      <c r="K9" s="986"/>
      <c r="L9" s="986"/>
      <c r="M9" s="986"/>
      <c r="N9" s="986"/>
      <c r="O9" s="986"/>
      <c r="P9" s="986"/>
      <c r="Q9" s="986"/>
      <c r="R9" s="986"/>
      <c r="S9" s="986"/>
      <c r="T9" s="986"/>
      <c r="U9" s="986"/>
      <c r="V9" s="986"/>
      <c r="W9" s="986"/>
      <c r="X9" s="986"/>
      <c r="Y9" s="986"/>
      <c r="Z9" s="986"/>
      <c r="AA9" s="986"/>
      <c r="AB9" s="986"/>
      <c r="AC9" s="986"/>
      <c r="AD9" s="986"/>
      <c r="AE9" s="986"/>
      <c r="AF9" s="68" t="s">
        <v>73</v>
      </c>
      <c r="AG9" s="354" t="s">
        <v>1437</v>
      </c>
      <c r="AH9" s="68" t="s">
        <v>86</v>
      </c>
      <c r="AI9" s="68" t="s">
        <v>610</v>
      </c>
      <c r="AJ9" s="68" t="s">
        <v>306</v>
      </c>
      <c r="AK9" s="718"/>
    </row>
    <row r="10" spans="1:37" s="8" customFormat="1" ht="21.75" customHeight="1" hidden="1">
      <c r="A10" s="1070"/>
      <c r="B10" s="33" t="s">
        <v>630</v>
      </c>
      <c r="C10" s="152"/>
      <c r="D10" s="986"/>
      <c r="E10" s="986"/>
      <c r="F10" s="986"/>
      <c r="G10" s="986"/>
      <c r="H10" s="986"/>
      <c r="I10" s="986"/>
      <c r="J10" s="986"/>
      <c r="K10" s="986"/>
      <c r="L10" s="986"/>
      <c r="M10" s="986"/>
      <c r="N10" s="986"/>
      <c r="O10" s="986"/>
      <c r="P10" s="986"/>
      <c r="Q10" s="986"/>
      <c r="R10" s="986"/>
      <c r="S10" s="986"/>
      <c r="T10" s="986"/>
      <c r="U10" s="986"/>
      <c r="V10" s="986"/>
      <c r="W10" s="986"/>
      <c r="X10" s="986"/>
      <c r="Y10" s="986"/>
      <c r="Z10" s="986"/>
      <c r="AA10" s="986"/>
      <c r="AB10" s="986"/>
      <c r="AC10" s="986"/>
      <c r="AD10" s="986"/>
      <c r="AE10" s="986"/>
      <c r="AF10" s="68" t="s">
        <v>73</v>
      </c>
      <c r="AG10" s="354" t="s">
        <v>1436</v>
      </c>
      <c r="AH10" s="68" t="s">
        <v>86</v>
      </c>
      <c r="AI10" s="68" t="s">
        <v>610</v>
      </c>
      <c r="AJ10" s="68" t="s">
        <v>306</v>
      </c>
      <c r="AK10" s="718"/>
    </row>
    <row r="11" spans="1:37" s="8" customFormat="1" ht="35.25" customHeight="1" hidden="1">
      <c r="A11" s="1070"/>
      <c r="B11" s="33" t="s">
        <v>631</v>
      </c>
      <c r="C11" s="152"/>
      <c r="D11" s="986"/>
      <c r="E11" s="986"/>
      <c r="F11" s="986"/>
      <c r="G11" s="986"/>
      <c r="H11" s="986"/>
      <c r="I11" s="986"/>
      <c r="J11" s="986"/>
      <c r="K11" s="986"/>
      <c r="L11" s="986"/>
      <c r="M11" s="986"/>
      <c r="N11" s="986"/>
      <c r="O11" s="986"/>
      <c r="P11" s="986"/>
      <c r="Q11" s="986"/>
      <c r="R11" s="986"/>
      <c r="S11" s="986"/>
      <c r="T11" s="986"/>
      <c r="U11" s="986"/>
      <c r="V11" s="986"/>
      <c r="W11" s="986"/>
      <c r="X11" s="986"/>
      <c r="Y11" s="986"/>
      <c r="Z11" s="986"/>
      <c r="AA11" s="986"/>
      <c r="AB11" s="986"/>
      <c r="AC11" s="986"/>
      <c r="AD11" s="986"/>
      <c r="AE11" s="986"/>
      <c r="AF11" s="68" t="s">
        <v>73</v>
      </c>
      <c r="AG11" s="354" t="s">
        <v>1436</v>
      </c>
      <c r="AH11" s="68" t="s">
        <v>86</v>
      </c>
      <c r="AI11" s="68" t="s">
        <v>610</v>
      </c>
      <c r="AJ11" s="68" t="s">
        <v>306</v>
      </c>
      <c r="AK11" s="718"/>
    </row>
    <row r="12" spans="1:37" s="8" customFormat="1" ht="35.25" customHeight="1" hidden="1">
      <c r="A12" s="1071"/>
      <c r="B12" s="33" t="s">
        <v>632</v>
      </c>
      <c r="C12" s="152"/>
      <c r="D12" s="987"/>
      <c r="E12" s="987"/>
      <c r="F12" s="987"/>
      <c r="G12" s="987"/>
      <c r="H12" s="987"/>
      <c r="I12" s="987"/>
      <c r="J12" s="987"/>
      <c r="K12" s="987"/>
      <c r="L12" s="987"/>
      <c r="M12" s="987"/>
      <c r="N12" s="987"/>
      <c r="O12" s="987"/>
      <c r="P12" s="987"/>
      <c r="Q12" s="987"/>
      <c r="R12" s="987"/>
      <c r="S12" s="987"/>
      <c r="T12" s="987"/>
      <c r="U12" s="987"/>
      <c r="V12" s="987"/>
      <c r="W12" s="987"/>
      <c r="X12" s="987"/>
      <c r="Y12" s="987"/>
      <c r="Z12" s="987"/>
      <c r="AA12" s="987"/>
      <c r="AB12" s="987"/>
      <c r="AC12" s="987"/>
      <c r="AD12" s="987"/>
      <c r="AE12" s="987"/>
      <c r="AF12" s="68" t="s">
        <v>73</v>
      </c>
      <c r="AG12" s="354" t="s">
        <v>1436</v>
      </c>
      <c r="AH12" s="68" t="s">
        <v>86</v>
      </c>
      <c r="AI12" s="68" t="s">
        <v>610</v>
      </c>
      <c r="AJ12" s="68" t="s">
        <v>306</v>
      </c>
      <c r="AK12" s="718"/>
    </row>
    <row r="13" spans="1:37" s="8" customFormat="1" ht="45">
      <c r="A13" s="102" t="s">
        <v>668</v>
      </c>
      <c r="B13" s="2" t="s">
        <v>1393</v>
      </c>
      <c r="C13" s="2" t="s">
        <v>1394</v>
      </c>
      <c r="D13" s="2"/>
      <c r="E13" s="2"/>
      <c r="F13" s="2"/>
      <c r="G13" s="2"/>
      <c r="H13" s="2"/>
      <c r="I13" s="2"/>
      <c r="J13" s="2"/>
      <c r="K13" s="2"/>
      <c r="L13" s="2">
        <v>1</v>
      </c>
      <c r="M13" s="2">
        <v>0</v>
      </c>
      <c r="N13" s="2" t="s">
        <v>610</v>
      </c>
      <c r="O13" s="2">
        <v>2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14"/>
      <c r="AG13" s="145">
        <v>30</v>
      </c>
      <c r="AH13" s="2" t="s">
        <v>1438</v>
      </c>
      <c r="AI13" s="2" t="s">
        <v>306</v>
      </c>
      <c r="AJ13" s="145" t="s">
        <v>669</v>
      </c>
      <c r="AK13" s="718"/>
    </row>
    <row r="14" spans="1:37" s="8" customFormat="1" ht="37.5" customHeight="1" hidden="1">
      <c r="A14" s="736" t="s">
        <v>373</v>
      </c>
      <c r="B14" s="151" t="s">
        <v>85</v>
      </c>
      <c r="C14" s="152" t="s">
        <v>221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145" t="s">
        <v>376</v>
      </c>
      <c r="AG14" s="88" t="s">
        <v>1439</v>
      </c>
      <c r="AH14" s="88" t="s">
        <v>86</v>
      </c>
      <c r="AI14" s="88" t="s">
        <v>306</v>
      </c>
      <c r="AJ14" s="30" t="s">
        <v>377</v>
      </c>
      <c r="AK14" s="990"/>
    </row>
    <row r="15" spans="1:37" s="8" customFormat="1" ht="50.25" customHeight="1" hidden="1">
      <c r="A15" s="736" t="s">
        <v>374</v>
      </c>
      <c r="B15" s="151" t="s">
        <v>378</v>
      </c>
      <c r="C15" s="152" t="s">
        <v>379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88" t="s">
        <v>71</v>
      </c>
      <c r="AG15" s="88" t="s">
        <v>1440</v>
      </c>
      <c r="AH15" s="88" t="s">
        <v>86</v>
      </c>
      <c r="AI15" s="14" t="s">
        <v>306</v>
      </c>
      <c r="AJ15" s="30" t="s">
        <v>380</v>
      </c>
      <c r="AK15" s="990"/>
    </row>
    <row r="16" spans="1:37" s="8" customFormat="1" ht="37.5" customHeight="1" hidden="1">
      <c r="A16" s="736" t="s">
        <v>375</v>
      </c>
      <c r="B16" s="151" t="s">
        <v>381</v>
      </c>
      <c r="C16" s="152" t="s">
        <v>350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145" t="s">
        <v>382</v>
      </c>
      <c r="AG16" s="88" t="s">
        <v>1441</v>
      </c>
      <c r="AH16" s="88" t="s">
        <v>383</v>
      </c>
      <c r="AI16" s="14" t="s">
        <v>306</v>
      </c>
      <c r="AJ16" s="30" t="s">
        <v>318</v>
      </c>
      <c r="AK16" s="990"/>
    </row>
    <row r="17" spans="1:37" s="8" customFormat="1" ht="37.5" customHeight="1" hidden="1">
      <c r="A17" s="736" t="s">
        <v>671</v>
      </c>
      <c r="B17" s="92" t="s">
        <v>1395</v>
      </c>
      <c r="C17" s="2" t="s">
        <v>1396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145"/>
      <c r="AG17" s="145" t="s">
        <v>1116</v>
      </c>
      <c r="AH17" s="2" t="s">
        <v>1442</v>
      </c>
      <c r="AI17" s="2" t="s">
        <v>306</v>
      </c>
      <c r="AJ17" s="145" t="s">
        <v>669</v>
      </c>
      <c r="AK17" s="990"/>
    </row>
    <row r="18" spans="1:37" s="8" customFormat="1" ht="37.5" customHeight="1" hidden="1">
      <c r="A18" s="736"/>
      <c r="B18" s="92" t="s">
        <v>670</v>
      </c>
      <c r="C18" s="2" t="s">
        <v>749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145"/>
      <c r="AG18" s="145" t="s">
        <v>1129</v>
      </c>
      <c r="AH18" s="2" t="s">
        <v>672</v>
      </c>
      <c r="AI18" s="2" t="s">
        <v>306</v>
      </c>
      <c r="AJ18" s="145" t="s">
        <v>669</v>
      </c>
      <c r="AK18" s="990"/>
    </row>
    <row r="19" spans="1:37" s="8" customFormat="1" ht="55.5" customHeight="1" hidden="1">
      <c r="A19" s="736" t="s">
        <v>384</v>
      </c>
      <c r="B19" s="151" t="s">
        <v>456</v>
      </c>
      <c r="C19" s="152" t="s">
        <v>387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45" t="s">
        <v>23</v>
      </c>
      <c r="AG19" s="88" t="s">
        <v>1440</v>
      </c>
      <c r="AH19" s="145" t="s">
        <v>311</v>
      </c>
      <c r="AI19" s="14" t="s">
        <v>306</v>
      </c>
      <c r="AJ19" s="30" t="s">
        <v>360</v>
      </c>
      <c r="AK19" s="990"/>
    </row>
    <row r="20" spans="1:37" s="8" customFormat="1" ht="37.5" customHeight="1" hidden="1">
      <c r="A20" s="736" t="s">
        <v>385</v>
      </c>
      <c r="B20" s="151" t="s">
        <v>388</v>
      </c>
      <c r="C20" s="152" t="s">
        <v>389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145" t="s">
        <v>12</v>
      </c>
      <c r="AG20" s="88" t="s">
        <v>1443</v>
      </c>
      <c r="AH20" s="145" t="s">
        <v>311</v>
      </c>
      <c r="AI20" s="14" t="s">
        <v>306</v>
      </c>
      <c r="AJ20" s="30" t="s">
        <v>329</v>
      </c>
      <c r="AK20" s="990"/>
    </row>
    <row r="21" spans="1:37" s="8" customFormat="1" ht="37.5" customHeight="1" hidden="1">
      <c r="A21" s="736" t="s">
        <v>386</v>
      </c>
      <c r="B21" s="151" t="s">
        <v>388</v>
      </c>
      <c r="C21" s="152" t="s">
        <v>390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145" t="s">
        <v>87</v>
      </c>
      <c r="AG21" s="88" t="s">
        <v>1444</v>
      </c>
      <c r="AH21" s="145" t="s">
        <v>16</v>
      </c>
      <c r="AI21" s="14"/>
      <c r="AJ21" s="30" t="s">
        <v>326</v>
      </c>
      <c r="AK21" s="990"/>
    </row>
    <row r="22" spans="1:37" s="8" customFormat="1" ht="37.5" customHeight="1" hidden="1">
      <c r="A22" s="736" t="s">
        <v>222</v>
      </c>
      <c r="B22" s="151" t="s">
        <v>223</v>
      </c>
      <c r="C22" s="15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145" t="s">
        <v>81</v>
      </c>
      <c r="AG22" s="145"/>
      <c r="AH22" s="563" t="s">
        <v>64</v>
      </c>
      <c r="AI22" s="630" t="s">
        <v>306</v>
      </c>
      <c r="AJ22" s="630" t="s">
        <v>306</v>
      </c>
      <c r="AK22" s="990"/>
    </row>
    <row r="23" spans="1:37" s="8" customFormat="1" ht="37.5" customHeight="1" hidden="1">
      <c r="A23" s="736" t="s">
        <v>391</v>
      </c>
      <c r="B23" s="151" t="s">
        <v>392</v>
      </c>
      <c r="C23" s="152" t="s">
        <v>393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145" t="s">
        <v>12</v>
      </c>
      <c r="AG23" s="88" t="s">
        <v>1443</v>
      </c>
      <c r="AH23" s="145" t="s">
        <v>351</v>
      </c>
      <c r="AI23" s="14" t="s">
        <v>306</v>
      </c>
      <c r="AJ23" s="30" t="s">
        <v>360</v>
      </c>
      <c r="AK23" s="990"/>
    </row>
    <row r="24" spans="1:37" s="8" customFormat="1" ht="37.5" customHeight="1" hidden="1">
      <c r="A24" s="736" t="s">
        <v>394</v>
      </c>
      <c r="B24" s="151" t="s">
        <v>395</v>
      </c>
      <c r="C24" s="152" t="s">
        <v>396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145" t="s">
        <v>23</v>
      </c>
      <c r="AG24" s="88" t="s">
        <v>1443</v>
      </c>
      <c r="AH24" s="145" t="s">
        <v>351</v>
      </c>
      <c r="AI24" s="14" t="s">
        <v>306</v>
      </c>
      <c r="AJ24" s="30" t="s">
        <v>360</v>
      </c>
      <c r="AK24" s="990"/>
    </row>
    <row r="25" spans="1:37" s="8" customFormat="1" ht="53.25" customHeight="1" hidden="1">
      <c r="A25" s="736" t="s">
        <v>397</v>
      </c>
      <c r="B25" s="151" t="s">
        <v>404</v>
      </c>
      <c r="C25" s="152" t="s">
        <v>398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45" t="s">
        <v>23</v>
      </c>
      <c r="AG25" s="88" t="s">
        <v>1445</v>
      </c>
      <c r="AH25" s="145" t="s">
        <v>399</v>
      </c>
      <c r="AI25" s="14" t="s">
        <v>306</v>
      </c>
      <c r="AJ25" s="30" t="s">
        <v>326</v>
      </c>
      <c r="AK25" s="990"/>
    </row>
    <row r="26" spans="1:37" s="8" customFormat="1" ht="51.75" customHeight="1" hidden="1">
      <c r="A26" s="736" t="s">
        <v>400</v>
      </c>
      <c r="B26" s="151" t="s">
        <v>403</v>
      </c>
      <c r="C26" s="152" t="s">
        <v>401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45" t="s">
        <v>23</v>
      </c>
      <c r="AG26" s="88" t="s">
        <v>1446</v>
      </c>
      <c r="AH26" s="145" t="s">
        <v>311</v>
      </c>
      <c r="AI26" s="14" t="s">
        <v>306</v>
      </c>
      <c r="AJ26" s="30" t="s">
        <v>402</v>
      </c>
      <c r="AK26" s="990"/>
    </row>
    <row r="27" spans="1:37" s="8" customFormat="1" ht="44.25" customHeight="1" hidden="1">
      <c r="A27" s="736" t="s">
        <v>405</v>
      </c>
      <c r="B27" s="151" t="s">
        <v>406</v>
      </c>
      <c r="C27" s="152" t="s">
        <v>407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52" t="s">
        <v>408</v>
      </c>
      <c r="AG27" s="88" t="s">
        <v>1447</v>
      </c>
      <c r="AH27" s="145" t="s">
        <v>88</v>
      </c>
      <c r="AI27" s="14"/>
      <c r="AJ27" s="30" t="s">
        <v>413</v>
      </c>
      <c r="AK27" s="990"/>
    </row>
    <row r="28" spans="1:37" s="8" customFormat="1" ht="44.25" customHeight="1" hidden="1">
      <c r="A28" s="736" t="s">
        <v>750</v>
      </c>
      <c r="B28" s="928" t="s">
        <v>751</v>
      </c>
      <c r="C28" s="982" t="s">
        <v>752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595" t="s">
        <v>753</v>
      </c>
      <c r="AG28" s="88" t="s">
        <v>1116</v>
      </c>
      <c r="AH28" s="595" t="s">
        <v>1448</v>
      </c>
      <c r="AI28" s="747" t="s">
        <v>306</v>
      </c>
      <c r="AJ28" s="747" t="s">
        <v>306</v>
      </c>
      <c r="AK28" s="990"/>
    </row>
    <row r="29" spans="1:37" s="8" customFormat="1" ht="37.5" customHeight="1">
      <c r="A29" s="736" t="s">
        <v>605</v>
      </c>
      <c r="B29" s="155" t="s">
        <v>614</v>
      </c>
      <c r="C29" s="33" t="s">
        <v>606</v>
      </c>
      <c r="D29" s="2"/>
      <c r="E29" s="2"/>
      <c r="F29" s="2"/>
      <c r="G29" s="2">
        <v>1</v>
      </c>
      <c r="H29" s="2"/>
      <c r="I29" s="2"/>
      <c r="J29" s="2"/>
      <c r="K29" s="2"/>
      <c r="L29" s="2">
        <v>1</v>
      </c>
      <c r="M29" s="2">
        <v>0</v>
      </c>
      <c r="N29" s="2" t="s">
        <v>610</v>
      </c>
      <c r="O29" s="2">
        <v>0.5</v>
      </c>
      <c r="P29" s="2" t="s">
        <v>1449</v>
      </c>
      <c r="Q29" s="2"/>
      <c r="R29" s="2">
        <v>20</v>
      </c>
      <c r="S29" s="2">
        <v>1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33" t="s">
        <v>37</v>
      </c>
      <c r="AG29" s="68">
        <v>20</v>
      </c>
      <c r="AH29" s="145" t="s">
        <v>297</v>
      </c>
      <c r="AI29" s="68" t="s">
        <v>610</v>
      </c>
      <c r="AJ29" s="145" t="s">
        <v>611</v>
      </c>
      <c r="AK29" s="718"/>
    </row>
    <row r="30" spans="1:37" s="8" customFormat="1" ht="37.5" customHeight="1">
      <c r="A30" s="93" t="s">
        <v>607</v>
      </c>
      <c r="B30" s="89" t="s">
        <v>225</v>
      </c>
      <c r="C30" s="33" t="s">
        <v>608</v>
      </c>
      <c r="D30" s="2"/>
      <c r="E30" s="2"/>
      <c r="F30" s="2">
        <v>6</v>
      </c>
      <c r="G30" s="2">
        <v>2.4</v>
      </c>
      <c r="H30" s="2"/>
      <c r="I30" s="2"/>
      <c r="J30" s="2">
        <v>2</v>
      </c>
      <c r="K30" s="2">
        <v>0.2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68" t="s">
        <v>333</v>
      </c>
      <c r="AG30" s="68"/>
      <c r="AH30" s="68" t="s">
        <v>612</v>
      </c>
      <c r="AI30" s="68" t="s">
        <v>610</v>
      </c>
      <c r="AJ30" s="145" t="s">
        <v>613</v>
      </c>
      <c r="AK30" s="718"/>
    </row>
    <row r="31" spans="1:37" s="1" customFormat="1" ht="37.5" customHeight="1">
      <c r="A31" s="26"/>
      <c r="B31" s="1406" t="s">
        <v>30</v>
      </c>
      <c r="C31" s="1406"/>
      <c r="D31" s="166">
        <f>SUM(D13:D30)</f>
        <v>0</v>
      </c>
      <c r="E31" s="166">
        <f aca="true" t="shared" si="0" ref="E31:AE31">SUM(E13:E30)</f>
        <v>0</v>
      </c>
      <c r="F31" s="166">
        <f t="shared" si="0"/>
        <v>6</v>
      </c>
      <c r="G31" s="166">
        <f t="shared" si="0"/>
        <v>3.4</v>
      </c>
      <c r="H31" s="166">
        <f t="shared" si="0"/>
        <v>0</v>
      </c>
      <c r="I31" s="166">
        <f t="shared" si="0"/>
        <v>0</v>
      </c>
      <c r="J31" s="166">
        <f t="shared" si="0"/>
        <v>2</v>
      </c>
      <c r="K31" s="166">
        <f t="shared" si="0"/>
        <v>0.2</v>
      </c>
      <c r="L31" s="166">
        <f t="shared" si="0"/>
        <v>2</v>
      </c>
      <c r="M31" s="166">
        <f t="shared" si="0"/>
        <v>0</v>
      </c>
      <c r="N31" s="166">
        <f t="shared" si="0"/>
        <v>0</v>
      </c>
      <c r="O31" s="166">
        <f t="shared" si="0"/>
        <v>2.5</v>
      </c>
      <c r="P31" s="166">
        <f t="shared" si="0"/>
        <v>0</v>
      </c>
      <c r="Q31" s="166">
        <f t="shared" si="0"/>
        <v>0</v>
      </c>
      <c r="R31" s="166">
        <f t="shared" si="0"/>
        <v>20</v>
      </c>
      <c r="S31" s="166">
        <f t="shared" si="0"/>
        <v>1</v>
      </c>
      <c r="T31" s="166">
        <f t="shared" si="0"/>
        <v>0</v>
      </c>
      <c r="U31" s="166">
        <f t="shared" si="0"/>
        <v>0</v>
      </c>
      <c r="V31" s="166">
        <f t="shared" si="0"/>
        <v>0</v>
      </c>
      <c r="W31" s="166">
        <f t="shared" si="0"/>
        <v>0</v>
      </c>
      <c r="X31" s="166">
        <f t="shared" si="0"/>
        <v>0</v>
      </c>
      <c r="Y31" s="166">
        <f t="shared" si="0"/>
        <v>0</v>
      </c>
      <c r="Z31" s="166">
        <f t="shared" si="0"/>
        <v>0</v>
      </c>
      <c r="AA31" s="166">
        <f t="shared" si="0"/>
        <v>0</v>
      </c>
      <c r="AB31" s="166">
        <f t="shared" si="0"/>
        <v>0</v>
      </c>
      <c r="AC31" s="166">
        <f t="shared" si="0"/>
        <v>0</v>
      </c>
      <c r="AD31" s="166">
        <f t="shared" si="0"/>
        <v>0</v>
      </c>
      <c r="AE31" s="166">
        <f t="shared" si="0"/>
        <v>0</v>
      </c>
      <c r="AF31" s="15"/>
      <c r="AG31" s="15"/>
      <c r="AH31" s="15"/>
      <c r="AI31" s="15"/>
      <c r="AJ31" s="15"/>
      <c r="AK31" s="44"/>
    </row>
    <row r="32" spans="1:37" s="8" customFormat="1" ht="48" customHeight="1">
      <c r="A32" s="770" t="s">
        <v>227</v>
      </c>
      <c r="B32" s="147" t="s">
        <v>89</v>
      </c>
      <c r="C32" s="152"/>
      <c r="D32" s="2"/>
      <c r="E32" s="2"/>
      <c r="F32" s="2"/>
      <c r="G32" s="2"/>
      <c r="H32" s="2">
        <v>0</v>
      </c>
      <c r="I32" s="2">
        <v>0</v>
      </c>
      <c r="J32" s="2">
        <v>15</v>
      </c>
      <c r="K32" s="2">
        <v>0.13</v>
      </c>
      <c r="L32" s="2"/>
      <c r="M32" s="2"/>
      <c r="N32" s="2"/>
      <c r="O32" s="2"/>
      <c r="P32" s="2"/>
      <c r="Q32" s="2"/>
      <c r="R32" s="2"/>
      <c r="S32" s="2"/>
      <c r="T32" s="2">
        <v>1</v>
      </c>
      <c r="U32" s="2"/>
      <c r="V32" s="2">
        <v>720</v>
      </c>
      <c r="W32" s="2">
        <v>7.5</v>
      </c>
      <c r="X32" s="2"/>
      <c r="Y32" s="2"/>
      <c r="Z32" s="2"/>
      <c r="AA32" s="2"/>
      <c r="AB32" s="2">
        <v>40</v>
      </c>
      <c r="AC32" s="2">
        <v>33</v>
      </c>
      <c r="AD32" s="2">
        <v>50</v>
      </c>
      <c r="AE32" s="2">
        <v>6.22</v>
      </c>
      <c r="AF32" s="145" t="s">
        <v>15</v>
      </c>
      <c r="AG32" s="145" t="s">
        <v>861</v>
      </c>
      <c r="AH32" s="145"/>
      <c r="AI32" s="30"/>
      <c r="AJ32" s="30"/>
      <c r="AK32" s="718"/>
    </row>
    <row r="33" spans="1:37" s="8" customFormat="1" ht="22.5" customHeight="1">
      <c r="A33" s="770" t="s">
        <v>228</v>
      </c>
      <c r="B33" s="147" t="s">
        <v>229</v>
      </c>
      <c r="C33" s="15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>
        <v>1</v>
      </c>
      <c r="X33" s="2"/>
      <c r="Y33" s="2"/>
      <c r="Z33" s="2"/>
      <c r="AA33" s="2"/>
      <c r="AB33" s="2">
        <v>320</v>
      </c>
      <c r="AC33" s="2">
        <v>280</v>
      </c>
      <c r="AD33" s="2">
        <v>0</v>
      </c>
      <c r="AE33" s="2">
        <v>0</v>
      </c>
      <c r="AF33" s="145"/>
      <c r="AG33" s="145"/>
      <c r="AH33" s="145"/>
      <c r="AI33" s="30"/>
      <c r="AJ33" s="30"/>
      <c r="AK33" s="718"/>
    </row>
    <row r="34" spans="1:37" s="8" customFormat="1" ht="30.75" customHeight="1">
      <c r="A34" s="770" t="s">
        <v>757</v>
      </c>
      <c r="B34" s="928" t="s">
        <v>758</v>
      </c>
      <c r="C34" s="928" t="s">
        <v>1450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>
        <v>40</v>
      </c>
      <c r="U34" s="2">
        <v>0</v>
      </c>
      <c r="V34" s="2">
        <v>40</v>
      </c>
      <c r="W34" s="2">
        <v>2.27</v>
      </c>
      <c r="X34" s="2"/>
      <c r="Y34" s="2"/>
      <c r="Z34" s="2"/>
      <c r="AA34" s="2"/>
      <c r="AB34" s="2"/>
      <c r="AC34" s="2"/>
      <c r="AD34" s="2"/>
      <c r="AE34" s="2"/>
      <c r="AF34" s="145"/>
      <c r="AG34" s="88"/>
      <c r="AH34" s="145"/>
      <c r="AI34" s="14"/>
      <c r="AJ34" s="30"/>
      <c r="AK34" s="718"/>
    </row>
    <row r="35" spans="1:37" s="8" customFormat="1" ht="30.75" customHeight="1">
      <c r="A35" s="770" t="s">
        <v>230</v>
      </c>
      <c r="B35" s="147" t="s">
        <v>468</v>
      </c>
      <c r="C35" s="152" t="s">
        <v>34</v>
      </c>
      <c r="D35" s="2"/>
      <c r="E35" s="2"/>
      <c r="F35" s="2"/>
      <c r="G35" s="2"/>
      <c r="H35" s="2"/>
      <c r="I35" s="2"/>
      <c r="J35" s="2"/>
      <c r="K35" s="2"/>
      <c r="L35" s="2">
        <v>1</v>
      </c>
      <c r="M35" s="2">
        <v>1</v>
      </c>
      <c r="N35" s="2" t="s">
        <v>610</v>
      </c>
      <c r="O35" s="2">
        <v>2</v>
      </c>
      <c r="P35" s="2"/>
      <c r="Q35" s="2"/>
      <c r="R35" s="2"/>
      <c r="S35" s="2"/>
      <c r="T35" s="2">
        <v>40</v>
      </c>
      <c r="U35" s="2">
        <v>0</v>
      </c>
      <c r="V35" s="2">
        <v>40</v>
      </c>
      <c r="W35" s="2">
        <v>2</v>
      </c>
      <c r="X35" s="2"/>
      <c r="Y35" s="2"/>
      <c r="Z35" s="2"/>
      <c r="AA35" s="2"/>
      <c r="AB35" s="2" t="s">
        <v>610</v>
      </c>
      <c r="AC35" s="2" t="s">
        <v>610</v>
      </c>
      <c r="AD35" s="2">
        <v>430</v>
      </c>
      <c r="AE35" s="2">
        <v>1.1</v>
      </c>
      <c r="AF35" s="145"/>
      <c r="AG35" s="145"/>
      <c r="AH35" s="145"/>
      <c r="AI35" s="30"/>
      <c r="AJ35" s="30"/>
      <c r="AK35" s="718"/>
    </row>
    <row r="36" spans="1:37" s="8" customFormat="1" ht="30.75" customHeight="1">
      <c r="A36" s="770" t="s">
        <v>1410</v>
      </c>
      <c r="B36" s="984" t="s">
        <v>1411</v>
      </c>
      <c r="C36" s="985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>
        <v>1</v>
      </c>
      <c r="AC36" s="2" t="s">
        <v>610</v>
      </c>
      <c r="AD36" s="2">
        <v>1</v>
      </c>
      <c r="AE36" s="2">
        <v>2.75</v>
      </c>
      <c r="AF36" s="145"/>
      <c r="AG36" s="150"/>
      <c r="AH36" s="991" t="s">
        <v>86</v>
      </c>
      <c r="AI36" s="30" t="s">
        <v>306</v>
      </c>
      <c r="AJ36" s="30" t="s">
        <v>306</v>
      </c>
      <c r="AK36" s="718"/>
    </row>
    <row r="37" spans="1:37" s="1" customFormat="1" ht="37.5" customHeight="1">
      <c r="A37" s="26"/>
      <c r="B37" s="1447" t="s">
        <v>14</v>
      </c>
      <c r="C37" s="1447"/>
      <c r="D37" s="242">
        <f>SUM(D32:D36)</f>
        <v>0</v>
      </c>
      <c r="E37" s="242">
        <f aca="true" t="shared" si="1" ref="E37:AE37">SUM(E32:E36)</f>
        <v>0</v>
      </c>
      <c r="F37" s="242">
        <f t="shared" si="1"/>
        <v>0</v>
      </c>
      <c r="G37" s="242">
        <f t="shared" si="1"/>
        <v>0</v>
      </c>
      <c r="H37" s="242">
        <f t="shared" si="1"/>
        <v>0</v>
      </c>
      <c r="I37" s="242">
        <f t="shared" si="1"/>
        <v>0</v>
      </c>
      <c r="J37" s="242">
        <f t="shared" si="1"/>
        <v>15</v>
      </c>
      <c r="K37" s="242">
        <f t="shared" si="1"/>
        <v>0.13</v>
      </c>
      <c r="L37" s="242">
        <f t="shared" si="1"/>
        <v>1</v>
      </c>
      <c r="M37" s="242">
        <f t="shared" si="1"/>
        <v>1</v>
      </c>
      <c r="N37" s="242">
        <f t="shared" si="1"/>
        <v>0</v>
      </c>
      <c r="O37" s="242">
        <f t="shared" si="1"/>
        <v>2</v>
      </c>
      <c r="P37" s="242">
        <f t="shared" si="1"/>
        <v>0</v>
      </c>
      <c r="Q37" s="242">
        <f t="shared" si="1"/>
        <v>0</v>
      </c>
      <c r="R37" s="242">
        <f t="shared" si="1"/>
        <v>0</v>
      </c>
      <c r="S37" s="242">
        <f t="shared" si="1"/>
        <v>0</v>
      </c>
      <c r="T37" s="242">
        <f t="shared" si="1"/>
        <v>81</v>
      </c>
      <c r="U37" s="242">
        <f t="shared" si="1"/>
        <v>0</v>
      </c>
      <c r="V37" s="242">
        <f t="shared" si="1"/>
        <v>800</v>
      </c>
      <c r="W37" s="242">
        <f t="shared" si="1"/>
        <v>12.77</v>
      </c>
      <c r="X37" s="242">
        <f t="shared" si="1"/>
        <v>0</v>
      </c>
      <c r="Y37" s="242">
        <f t="shared" si="1"/>
        <v>0</v>
      </c>
      <c r="Z37" s="242">
        <f t="shared" si="1"/>
        <v>0</v>
      </c>
      <c r="AA37" s="242">
        <f t="shared" si="1"/>
        <v>0</v>
      </c>
      <c r="AB37" s="242">
        <f t="shared" si="1"/>
        <v>361</v>
      </c>
      <c r="AC37" s="242">
        <f t="shared" si="1"/>
        <v>313</v>
      </c>
      <c r="AD37" s="242">
        <f t="shared" si="1"/>
        <v>481</v>
      </c>
      <c r="AE37" s="242">
        <f t="shared" si="1"/>
        <v>10.07</v>
      </c>
      <c r="AF37" s="988"/>
      <c r="AG37" s="988"/>
      <c r="AH37" s="988"/>
      <c r="AI37" s="988"/>
      <c r="AJ37" s="988"/>
      <c r="AK37" s="44"/>
    </row>
    <row r="38" spans="1:37" ht="37.5" customHeight="1" thickBot="1">
      <c r="A38" s="620"/>
      <c r="B38" s="1448" t="s">
        <v>90</v>
      </c>
      <c r="C38" s="1448"/>
      <c r="D38" s="246">
        <f>SUM(D31,D37)</f>
        <v>0</v>
      </c>
      <c r="E38" s="246">
        <f aca="true" t="shared" si="2" ref="E38:AE38">SUM(E31,E37)</f>
        <v>0</v>
      </c>
      <c r="F38" s="246">
        <f t="shared" si="2"/>
        <v>6</v>
      </c>
      <c r="G38" s="246">
        <f t="shared" si="2"/>
        <v>3.4</v>
      </c>
      <c r="H38" s="246">
        <f t="shared" si="2"/>
        <v>0</v>
      </c>
      <c r="I38" s="246">
        <f t="shared" si="2"/>
        <v>0</v>
      </c>
      <c r="J38" s="246">
        <f t="shared" si="2"/>
        <v>17</v>
      </c>
      <c r="K38" s="246">
        <f t="shared" si="2"/>
        <v>0.33</v>
      </c>
      <c r="L38" s="246">
        <f t="shared" si="2"/>
        <v>3</v>
      </c>
      <c r="M38" s="246">
        <f t="shared" si="2"/>
        <v>1</v>
      </c>
      <c r="N38" s="246">
        <f t="shared" si="2"/>
        <v>0</v>
      </c>
      <c r="O38" s="246">
        <f t="shared" si="2"/>
        <v>4.5</v>
      </c>
      <c r="P38" s="246">
        <f t="shared" si="2"/>
        <v>0</v>
      </c>
      <c r="Q38" s="246">
        <f t="shared" si="2"/>
        <v>0</v>
      </c>
      <c r="R38" s="246">
        <f t="shared" si="2"/>
        <v>20</v>
      </c>
      <c r="S38" s="246">
        <f t="shared" si="2"/>
        <v>1</v>
      </c>
      <c r="T38" s="246">
        <f t="shared" si="2"/>
        <v>81</v>
      </c>
      <c r="U38" s="246">
        <f t="shared" si="2"/>
        <v>0</v>
      </c>
      <c r="V38" s="246">
        <f t="shared" si="2"/>
        <v>800</v>
      </c>
      <c r="W38" s="246">
        <f t="shared" si="2"/>
        <v>12.77</v>
      </c>
      <c r="X38" s="246">
        <f t="shared" si="2"/>
        <v>0</v>
      </c>
      <c r="Y38" s="246">
        <f t="shared" si="2"/>
        <v>0</v>
      </c>
      <c r="Z38" s="246">
        <f t="shared" si="2"/>
        <v>0</v>
      </c>
      <c r="AA38" s="246">
        <f t="shared" si="2"/>
        <v>0</v>
      </c>
      <c r="AB38" s="246">
        <f t="shared" si="2"/>
        <v>361</v>
      </c>
      <c r="AC38" s="246">
        <f t="shared" si="2"/>
        <v>313</v>
      </c>
      <c r="AD38" s="246">
        <f t="shared" si="2"/>
        <v>481</v>
      </c>
      <c r="AE38" s="246">
        <f t="shared" si="2"/>
        <v>10.07</v>
      </c>
      <c r="AF38" s="246"/>
      <c r="AG38" s="246"/>
      <c r="AH38" s="246"/>
      <c r="AI38" s="246"/>
      <c r="AJ38" s="246"/>
      <c r="AK38" s="989"/>
    </row>
    <row r="39" spans="1:36" s="8" customFormat="1" ht="18" customHeight="1">
      <c r="A39" s="27"/>
      <c r="B39" s="19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</row>
  </sheetData>
  <sheetProtection/>
  <mergeCells count="37">
    <mergeCell ref="B31:C31"/>
    <mergeCell ref="B37:C37"/>
    <mergeCell ref="B38:C38"/>
    <mergeCell ref="AG4:AG5"/>
    <mergeCell ref="AH4:AH5"/>
    <mergeCell ref="AI4:AI5"/>
    <mergeCell ref="J4:K4"/>
    <mergeCell ref="L4:M4"/>
    <mergeCell ref="N4:O4"/>
    <mergeCell ref="P4:Q4"/>
    <mergeCell ref="AJ4:AJ5"/>
    <mergeCell ref="AK4:AK5"/>
    <mergeCell ref="A6:A12"/>
    <mergeCell ref="B7:B8"/>
    <mergeCell ref="V4:W4"/>
    <mergeCell ref="X4:Y4"/>
    <mergeCell ref="Z4:AA4"/>
    <mergeCell ref="AB4:AC4"/>
    <mergeCell ref="AD4:AE4"/>
    <mergeCell ref="AF4:AF5"/>
    <mergeCell ref="R4:S4"/>
    <mergeCell ref="T4:U4"/>
    <mergeCell ref="A4:A5"/>
    <mergeCell ref="B4:B5"/>
    <mergeCell ref="C4:C5"/>
    <mergeCell ref="D4:E4"/>
    <mergeCell ref="F4:G4"/>
    <mergeCell ref="H4:I4"/>
    <mergeCell ref="A1:AK1"/>
    <mergeCell ref="A2:AK2"/>
    <mergeCell ref="D3:G3"/>
    <mergeCell ref="H3:K3"/>
    <mergeCell ref="L3:O3"/>
    <mergeCell ref="P3:S3"/>
    <mergeCell ref="T3:W3"/>
    <mergeCell ref="X3:AA3"/>
    <mergeCell ref="AB3:AE3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Z24"/>
  <sheetViews>
    <sheetView zoomScale="70" zoomScaleNormal="70" zoomScalePageLayoutView="0" workbookViewId="0" topLeftCell="A1">
      <selection activeCell="D6" sqref="D6"/>
    </sheetView>
  </sheetViews>
  <sheetFormatPr defaultColWidth="15.7109375" defaultRowHeight="21.75" customHeight="1"/>
  <cols>
    <col min="1" max="1" width="12.00390625" style="200" customWidth="1"/>
    <col min="2" max="2" width="24.421875" style="200" customWidth="1"/>
    <col min="3" max="3" width="22.8515625" style="393" customWidth="1"/>
    <col min="4" max="10" width="7.28125" style="197" customWidth="1"/>
    <col min="11" max="11" width="7.421875" style="197" customWidth="1"/>
    <col min="12" max="15" width="7.28125" style="197" customWidth="1"/>
    <col min="16" max="18" width="7.8515625" style="197" customWidth="1"/>
    <col min="19" max="31" width="6.8515625" style="197" customWidth="1"/>
    <col min="32" max="33" width="6.140625" style="197" customWidth="1"/>
    <col min="34" max="34" width="7.28125" style="197" customWidth="1"/>
    <col min="35" max="47" width="11.28125" style="197" customWidth="1"/>
    <col min="48" max="48" width="12.28125" style="197" customWidth="1"/>
    <col min="49" max="49" width="23.140625" style="197" customWidth="1"/>
    <col min="50" max="50" width="14.00390625" style="197" customWidth="1"/>
    <col min="51" max="52" width="15.140625" style="197" customWidth="1"/>
    <col min="53" max="16384" width="15.7109375" style="197" customWidth="1"/>
  </cols>
  <sheetData>
    <row r="1" spans="1:52" ht="21" thickBot="1">
      <c r="A1" s="1449" t="s">
        <v>267</v>
      </c>
      <c r="B1" s="1450"/>
      <c r="C1" s="1450"/>
      <c r="D1" s="1450"/>
      <c r="E1" s="1450"/>
      <c r="F1" s="1450"/>
      <c r="G1" s="1450"/>
      <c r="H1" s="1450"/>
      <c r="I1" s="1450"/>
      <c r="J1" s="1450"/>
      <c r="K1" s="1450"/>
      <c r="L1" s="1450"/>
      <c r="M1" s="1450"/>
      <c r="N1" s="1450"/>
      <c r="O1" s="1450"/>
      <c r="P1" s="1450"/>
      <c r="Q1" s="1450"/>
      <c r="R1" s="1450"/>
      <c r="S1" s="1450"/>
      <c r="T1" s="1450"/>
      <c r="U1" s="1450"/>
      <c r="V1" s="1450"/>
      <c r="W1" s="1450"/>
      <c r="X1" s="1450"/>
      <c r="Y1" s="1450"/>
      <c r="Z1" s="1450"/>
      <c r="AA1" s="1450"/>
      <c r="AB1" s="1450"/>
      <c r="AC1" s="1450"/>
      <c r="AD1" s="1450"/>
      <c r="AE1" s="1450"/>
      <c r="AF1" s="1450"/>
      <c r="AG1" s="1450"/>
      <c r="AH1" s="1450"/>
      <c r="AI1" s="1450"/>
      <c r="AJ1" s="1450"/>
      <c r="AK1" s="1450"/>
      <c r="AL1" s="1450"/>
      <c r="AM1" s="1450"/>
      <c r="AN1" s="1450"/>
      <c r="AO1" s="1450"/>
      <c r="AP1" s="1450"/>
      <c r="AQ1" s="1450"/>
      <c r="AR1" s="1450"/>
      <c r="AS1" s="1450"/>
      <c r="AT1" s="1450"/>
      <c r="AU1" s="1450"/>
      <c r="AV1" s="1450"/>
      <c r="AW1" s="1450"/>
      <c r="AX1" s="1450"/>
      <c r="AY1" s="1450"/>
      <c r="AZ1" s="1451"/>
    </row>
    <row r="2" spans="1:52" ht="16.5" thickBot="1">
      <c r="A2" s="1317" t="s">
        <v>550</v>
      </c>
      <c r="B2" s="1318"/>
      <c r="C2" s="1318"/>
      <c r="D2" s="1318"/>
      <c r="E2" s="1318"/>
      <c r="F2" s="1318"/>
      <c r="G2" s="1318"/>
      <c r="H2" s="1318"/>
      <c r="I2" s="1318"/>
      <c r="J2" s="1318"/>
      <c r="K2" s="1318"/>
      <c r="L2" s="1318"/>
      <c r="M2" s="1318"/>
      <c r="N2" s="1318"/>
      <c r="O2" s="1318"/>
      <c r="P2" s="1318"/>
      <c r="Q2" s="1318"/>
      <c r="R2" s="1318"/>
      <c r="S2" s="1318"/>
      <c r="T2" s="1318"/>
      <c r="U2" s="1318"/>
      <c r="V2" s="1318"/>
      <c r="W2" s="1318"/>
      <c r="X2" s="1318"/>
      <c r="Y2" s="1318"/>
      <c r="Z2" s="1318"/>
      <c r="AA2" s="1318"/>
      <c r="AB2" s="1318"/>
      <c r="AC2" s="1318"/>
      <c r="AD2" s="1318"/>
      <c r="AE2" s="1318"/>
      <c r="AF2" s="1318"/>
      <c r="AG2" s="1318"/>
      <c r="AH2" s="1318"/>
      <c r="AI2" s="1318"/>
      <c r="AJ2" s="1318"/>
      <c r="AK2" s="1318"/>
      <c r="AL2" s="1318"/>
      <c r="AM2" s="1318"/>
      <c r="AN2" s="1318"/>
      <c r="AO2" s="1318"/>
      <c r="AP2" s="1318"/>
      <c r="AQ2" s="1318"/>
      <c r="AR2" s="1318"/>
      <c r="AS2" s="1318"/>
      <c r="AT2" s="1318"/>
      <c r="AU2" s="1318"/>
      <c r="AV2" s="1318"/>
      <c r="AW2" s="1318"/>
      <c r="AX2" s="1318"/>
      <c r="AY2" s="1318"/>
      <c r="AZ2" s="1319"/>
    </row>
    <row r="3" spans="1:52" ht="16.5" thickBot="1">
      <c r="A3" s="400"/>
      <c r="B3" s="401"/>
      <c r="C3" s="401"/>
      <c r="D3" s="1398" t="s">
        <v>884</v>
      </c>
      <c r="E3" s="1399"/>
      <c r="F3" s="1399"/>
      <c r="G3" s="1400"/>
      <c r="H3" s="1398" t="s">
        <v>907</v>
      </c>
      <c r="I3" s="1399"/>
      <c r="J3" s="1399"/>
      <c r="K3" s="1400"/>
      <c r="L3" s="1398" t="s">
        <v>908</v>
      </c>
      <c r="M3" s="1399"/>
      <c r="N3" s="1399"/>
      <c r="O3" s="1400"/>
      <c r="P3" s="1398" t="s">
        <v>552</v>
      </c>
      <c r="Q3" s="1399"/>
      <c r="R3" s="1399"/>
      <c r="S3" s="1400"/>
      <c r="T3" s="1398" t="s">
        <v>633</v>
      </c>
      <c r="U3" s="1399"/>
      <c r="V3" s="1399"/>
      <c r="W3" s="1400"/>
      <c r="X3" s="1398" t="s">
        <v>916</v>
      </c>
      <c r="Y3" s="1399"/>
      <c r="Z3" s="1399"/>
      <c r="AA3" s="1400"/>
      <c r="AB3" s="1398" t="s">
        <v>676</v>
      </c>
      <c r="AC3" s="1399"/>
      <c r="AD3" s="1399"/>
      <c r="AE3" s="1400"/>
      <c r="AF3" s="1398" t="s">
        <v>1</v>
      </c>
      <c r="AG3" s="1399"/>
      <c r="AH3" s="1399"/>
      <c r="AI3" s="1400"/>
      <c r="AJ3" s="1398" t="s">
        <v>551</v>
      </c>
      <c r="AK3" s="1399"/>
      <c r="AL3" s="1399"/>
      <c r="AM3" s="1400"/>
      <c r="AN3" s="1398" t="s">
        <v>854</v>
      </c>
      <c r="AO3" s="1399"/>
      <c r="AP3" s="1399"/>
      <c r="AQ3" s="1400"/>
      <c r="AR3" s="1398" t="s">
        <v>947</v>
      </c>
      <c r="AS3" s="1399"/>
      <c r="AT3" s="1399"/>
      <c r="AU3" s="1400"/>
      <c r="AV3" s="401"/>
      <c r="AW3" s="401"/>
      <c r="AX3" s="401"/>
      <c r="AY3" s="401"/>
      <c r="AZ3" s="402"/>
    </row>
    <row r="4" spans="1:52" ht="21.75" customHeight="1">
      <c r="A4" s="1413" t="s">
        <v>265</v>
      </c>
      <c r="B4" s="1414" t="s">
        <v>2</v>
      </c>
      <c r="C4" s="1414" t="s">
        <v>3</v>
      </c>
      <c r="D4" s="1397" t="s">
        <v>112</v>
      </c>
      <c r="E4" s="1397"/>
      <c r="F4" s="1397" t="s">
        <v>113</v>
      </c>
      <c r="G4" s="1397"/>
      <c r="H4" s="1397" t="s">
        <v>112</v>
      </c>
      <c r="I4" s="1397"/>
      <c r="J4" s="1397" t="s">
        <v>113</v>
      </c>
      <c r="K4" s="1397"/>
      <c r="L4" s="1397" t="s">
        <v>112</v>
      </c>
      <c r="M4" s="1397"/>
      <c r="N4" s="1397" t="s">
        <v>113</v>
      </c>
      <c r="O4" s="1397"/>
      <c r="P4" s="1397" t="s">
        <v>112</v>
      </c>
      <c r="Q4" s="1397"/>
      <c r="R4" s="1397" t="s">
        <v>113</v>
      </c>
      <c r="S4" s="1397"/>
      <c r="T4" s="1397" t="s">
        <v>112</v>
      </c>
      <c r="U4" s="1397"/>
      <c r="V4" s="1397" t="s">
        <v>113</v>
      </c>
      <c r="W4" s="1397"/>
      <c r="X4" s="1397" t="s">
        <v>112</v>
      </c>
      <c r="Y4" s="1397"/>
      <c r="Z4" s="1397" t="s">
        <v>113</v>
      </c>
      <c r="AA4" s="1397"/>
      <c r="AB4" s="1397" t="s">
        <v>112</v>
      </c>
      <c r="AC4" s="1397"/>
      <c r="AD4" s="1397" t="s">
        <v>113</v>
      </c>
      <c r="AE4" s="1397"/>
      <c r="AF4" s="1397" t="s">
        <v>112</v>
      </c>
      <c r="AG4" s="1397"/>
      <c r="AH4" s="1397" t="s">
        <v>113</v>
      </c>
      <c r="AI4" s="1397"/>
      <c r="AJ4" s="1397" t="s">
        <v>112</v>
      </c>
      <c r="AK4" s="1397"/>
      <c r="AL4" s="1397" t="s">
        <v>113</v>
      </c>
      <c r="AM4" s="1397"/>
      <c r="AN4" s="1397" t="s">
        <v>112</v>
      </c>
      <c r="AO4" s="1397"/>
      <c r="AP4" s="1397" t="s">
        <v>113</v>
      </c>
      <c r="AQ4" s="1397"/>
      <c r="AR4" s="1397" t="s">
        <v>112</v>
      </c>
      <c r="AS4" s="1397"/>
      <c r="AT4" s="1397" t="s">
        <v>113</v>
      </c>
      <c r="AU4" s="1397"/>
      <c r="AV4" s="1397" t="s">
        <v>4</v>
      </c>
      <c r="AW4" s="1397" t="s">
        <v>122</v>
      </c>
      <c r="AX4" s="1452" t="s">
        <v>5</v>
      </c>
      <c r="AY4" s="1416" t="s">
        <v>83</v>
      </c>
      <c r="AZ4" s="1422" t="s">
        <v>84</v>
      </c>
    </row>
    <row r="5" spans="1:52" ht="57.75" customHeight="1" thickBot="1">
      <c r="A5" s="1272"/>
      <c r="B5" s="1415"/>
      <c r="C5" s="1415"/>
      <c r="D5" s="25" t="s">
        <v>6</v>
      </c>
      <c r="E5" s="25" t="s">
        <v>7</v>
      </c>
      <c r="F5" s="25" t="s">
        <v>6</v>
      </c>
      <c r="G5" s="25" t="s">
        <v>96</v>
      </c>
      <c r="H5" s="25" t="s">
        <v>6</v>
      </c>
      <c r="I5" s="25" t="s">
        <v>7</v>
      </c>
      <c r="J5" s="25" t="s">
        <v>6</v>
      </c>
      <c r="K5" s="25" t="s">
        <v>96</v>
      </c>
      <c r="L5" s="25" t="s">
        <v>6</v>
      </c>
      <c r="M5" s="25" t="s">
        <v>7</v>
      </c>
      <c r="N5" s="25" t="s">
        <v>6</v>
      </c>
      <c r="O5" s="25" t="s">
        <v>96</v>
      </c>
      <c r="P5" s="25" t="s">
        <v>6</v>
      </c>
      <c r="Q5" s="25" t="s">
        <v>7</v>
      </c>
      <c r="R5" s="25" t="s">
        <v>6</v>
      </c>
      <c r="S5" s="25" t="s">
        <v>96</v>
      </c>
      <c r="T5" s="25" t="s">
        <v>6</v>
      </c>
      <c r="U5" s="25" t="s">
        <v>7</v>
      </c>
      <c r="V5" s="25" t="s">
        <v>6</v>
      </c>
      <c r="W5" s="25" t="s">
        <v>96</v>
      </c>
      <c r="X5" s="25" t="s">
        <v>6</v>
      </c>
      <c r="Y5" s="25" t="s">
        <v>7</v>
      </c>
      <c r="Z5" s="25" t="s">
        <v>6</v>
      </c>
      <c r="AA5" s="25" t="s">
        <v>96</v>
      </c>
      <c r="AB5" s="25" t="s">
        <v>6</v>
      </c>
      <c r="AC5" s="25" t="s">
        <v>7</v>
      </c>
      <c r="AD5" s="25" t="s">
        <v>6</v>
      </c>
      <c r="AE5" s="25" t="s">
        <v>96</v>
      </c>
      <c r="AF5" s="25" t="s">
        <v>6</v>
      </c>
      <c r="AG5" s="25" t="s">
        <v>7</v>
      </c>
      <c r="AH5" s="25" t="s">
        <v>6</v>
      </c>
      <c r="AI5" s="25" t="s">
        <v>96</v>
      </c>
      <c r="AJ5" s="25" t="s">
        <v>6</v>
      </c>
      <c r="AK5" s="25" t="s">
        <v>7</v>
      </c>
      <c r="AL5" s="25" t="s">
        <v>6</v>
      </c>
      <c r="AM5" s="25" t="s">
        <v>96</v>
      </c>
      <c r="AN5" s="25" t="s">
        <v>6</v>
      </c>
      <c r="AO5" s="25" t="s">
        <v>7</v>
      </c>
      <c r="AP5" s="25" t="s">
        <v>6</v>
      </c>
      <c r="AQ5" s="25" t="s">
        <v>96</v>
      </c>
      <c r="AR5" s="25" t="s">
        <v>6</v>
      </c>
      <c r="AS5" s="25" t="s">
        <v>7</v>
      </c>
      <c r="AT5" s="25" t="s">
        <v>6</v>
      </c>
      <c r="AU5" s="25" t="s">
        <v>96</v>
      </c>
      <c r="AV5" s="1118"/>
      <c r="AW5" s="1118"/>
      <c r="AX5" s="1453"/>
      <c r="AY5" s="1417"/>
      <c r="AZ5" s="1423"/>
    </row>
    <row r="6" spans="1:52" s="372" customFormat="1" ht="47.25" customHeight="1">
      <c r="A6" s="186">
        <v>3.1</v>
      </c>
      <c r="B6" s="151" t="s">
        <v>799</v>
      </c>
      <c r="C6" s="145" t="s">
        <v>34</v>
      </c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9"/>
      <c r="AI6" s="370"/>
      <c r="AJ6" s="68">
        <v>120</v>
      </c>
      <c r="AK6" s="145">
        <v>120</v>
      </c>
      <c r="AL6" s="145" t="s">
        <v>800</v>
      </c>
      <c r="AM6" s="145">
        <v>8</v>
      </c>
      <c r="AN6" s="68">
        <v>84</v>
      </c>
      <c r="AO6" s="225" t="s">
        <v>610</v>
      </c>
      <c r="AP6" s="68">
        <v>84</v>
      </c>
      <c r="AQ6" s="225" t="s">
        <v>610</v>
      </c>
      <c r="AR6" s="68" t="s">
        <v>610</v>
      </c>
      <c r="AS6" s="68" t="s">
        <v>610</v>
      </c>
      <c r="AT6" s="145">
        <v>6</v>
      </c>
      <c r="AU6" s="145">
        <v>5.5</v>
      </c>
      <c r="AV6" s="369" t="s">
        <v>35</v>
      </c>
      <c r="AW6" s="145">
        <v>30</v>
      </c>
      <c r="AX6" s="369" t="s">
        <v>469</v>
      </c>
      <c r="AY6" s="369" t="s">
        <v>470</v>
      </c>
      <c r="AZ6" s="396" t="s">
        <v>471</v>
      </c>
    </row>
    <row r="7" spans="1:52" s="372" customFormat="1" ht="15.75">
      <c r="A7" s="390">
        <v>3.2</v>
      </c>
      <c r="B7" s="394" t="s">
        <v>472</v>
      </c>
      <c r="C7" s="369" t="s">
        <v>34</v>
      </c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68">
        <v>17</v>
      </c>
      <c r="S7" s="68">
        <v>0.85</v>
      </c>
      <c r="T7" s="145">
        <v>240</v>
      </c>
      <c r="U7" s="145">
        <v>12</v>
      </c>
      <c r="V7" s="68"/>
      <c r="W7" s="68"/>
      <c r="X7" s="68"/>
      <c r="Y7" s="68"/>
      <c r="Z7" s="68"/>
      <c r="AA7" s="68"/>
      <c r="AB7" s="68"/>
      <c r="AC7" s="68"/>
      <c r="AD7" s="68"/>
      <c r="AE7" s="68"/>
      <c r="AF7" s="368"/>
      <c r="AG7" s="368"/>
      <c r="AH7" s="369">
        <v>40</v>
      </c>
      <c r="AI7" s="370">
        <v>2</v>
      </c>
      <c r="AJ7" s="68">
        <v>30</v>
      </c>
      <c r="AK7" s="145">
        <v>20</v>
      </c>
      <c r="AL7" s="145">
        <v>245</v>
      </c>
      <c r="AM7" s="68">
        <v>3.75</v>
      </c>
      <c r="AN7" s="68">
        <v>3045</v>
      </c>
      <c r="AO7" s="225" t="s">
        <v>610</v>
      </c>
      <c r="AP7" s="68">
        <v>3045</v>
      </c>
      <c r="AQ7" s="225" t="s">
        <v>610</v>
      </c>
      <c r="AR7" s="68" t="s">
        <v>610</v>
      </c>
      <c r="AS7" s="68" t="s">
        <v>610</v>
      </c>
      <c r="AT7" s="145">
        <v>180</v>
      </c>
      <c r="AU7" s="145">
        <v>9</v>
      </c>
      <c r="AV7" s="369" t="s">
        <v>73</v>
      </c>
      <c r="AW7" s="145">
        <v>30</v>
      </c>
      <c r="AX7" s="369" t="s">
        <v>469</v>
      </c>
      <c r="AY7" s="369" t="s">
        <v>306</v>
      </c>
      <c r="AZ7" s="396" t="s">
        <v>471</v>
      </c>
    </row>
    <row r="8" spans="1:52" s="372" customFormat="1" ht="30">
      <c r="A8" s="390">
        <v>3.3</v>
      </c>
      <c r="B8" s="394" t="s">
        <v>473</v>
      </c>
      <c r="C8" s="369" t="s">
        <v>474</v>
      </c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68">
        <v>2</v>
      </c>
      <c r="S8" s="68">
        <v>0.2</v>
      </c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368"/>
      <c r="AG8" s="368"/>
      <c r="AH8" s="369">
        <v>9</v>
      </c>
      <c r="AI8" s="370">
        <v>0.18</v>
      </c>
      <c r="AJ8" s="145" t="s">
        <v>801</v>
      </c>
      <c r="AK8" s="68">
        <v>0</v>
      </c>
      <c r="AL8" s="145" t="s">
        <v>802</v>
      </c>
      <c r="AM8" s="68">
        <v>31.5</v>
      </c>
      <c r="AN8" s="68">
        <v>1276</v>
      </c>
      <c r="AO8" s="225" t="s">
        <v>610</v>
      </c>
      <c r="AP8" s="68">
        <v>1276</v>
      </c>
      <c r="AQ8" s="225" t="s">
        <v>610</v>
      </c>
      <c r="AR8" s="68" t="s">
        <v>610</v>
      </c>
      <c r="AS8" s="68" t="s">
        <v>610</v>
      </c>
      <c r="AT8" s="145">
        <v>36</v>
      </c>
      <c r="AU8" s="68">
        <v>3.6</v>
      </c>
      <c r="AV8" s="369" t="s">
        <v>35</v>
      </c>
      <c r="AW8" s="145">
        <v>30</v>
      </c>
      <c r="AX8" s="369" t="s">
        <v>475</v>
      </c>
      <c r="AY8" s="369" t="s">
        <v>306</v>
      </c>
      <c r="AZ8" s="396" t="s">
        <v>471</v>
      </c>
    </row>
    <row r="9" spans="1:52" s="372" customFormat="1" ht="31.5">
      <c r="A9" s="186">
        <v>3.4</v>
      </c>
      <c r="B9" s="152" t="s">
        <v>881</v>
      </c>
      <c r="C9" s="68" t="s">
        <v>880</v>
      </c>
      <c r="D9" s="133">
        <v>0</v>
      </c>
      <c r="E9" s="133">
        <v>0</v>
      </c>
      <c r="F9" s="133">
        <v>38</v>
      </c>
      <c r="G9" s="134">
        <v>0.8</v>
      </c>
      <c r="H9" s="134"/>
      <c r="I9" s="134"/>
      <c r="J9" s="134"/>
      <c r="K9" s="134"/>
      <c r="L9" s="134"/>
      <c r="M9" s="134"/>
      <c r="N9" s="134"/>
      <c r="O9" s="134"/>
      <c r="P9" s="133"/>
      <c r="Q9" s="133"/>
      <c r="R9" s="133"/>
      <c r="S9" s="134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368"/>
      <c r="AG9" s="368"/>
      <c r="AH9" s="369"/>
      <c r="AI9" s="370"/>
      <c r="AJ9" s="145"/>
      <c r="AK9" s="68"/>
      <c r="AL9" s="145"/>
      <c r="AM9" s="68"/>
      <c r="AN9" s="225" t="s">
        <v>610</v>
      </c>
      <c r="AO9" s="225" t="s">
        <v>610</v>
      </c>
      <c r="AP9" s="225" t="s">
        <v>610</v>
      </c>
      <c r="AQ9" s="225" t="s">
        <v>610</v>
      </c>
      <c r="AR9" s="225"/>
      <c r="AS9" s="225"/>
      <c r="AT9" s="225"/>
      <c r="AU9" s="225"/>
      <c r="AV9" s="369"/>
      <c r="AW9" s="371"/>
      <c r="AX9" s="369"/>
      <c r="AY9" s="369"/>
      <c r="AZ9" s="396"/>
    </row>
    <row r="10" spans="1:52" s="373" customFormat="1" ht="15.75">
      <c r="A10" s="390">
        <v>3.5</v>
      </c>
      <c r="B10" s="394" t="s">
        <v>476</v>
      </c>
      <c r="C10" s="369" t="s">
        <v>477</v>
      </c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8"/>
      <c r="V10" s="368"/>
      <c r="W10" s="368"/>
      <c r="X10" s="368"/>
      <c r="Y10" s="368"/>
      <c r="Z10" s="368"/>
      <c r="AA10" s="368"/>
      <c r="AB10" s="368"/>
      <c r="AC10" s="368"/>
      <c r="AD10" s="368"/>
      <c r="AE10" s="368"/>
      <c r="AF10" s="368"/>
      <c r="AG10" s="368"/>
      <c r="AH10" s="369">
        <v>40665</v>
      </c>
      <c r="AI10" s="370">
        <v>214.83</v>
      </c>
      <c r="AJ10" s="370"/>
      <c r="AK10" s="370"/>
      <c r="AL10" s="370"/>
      <c r="AM10" s="370"/>
      <c r="AN10" s="68">
        <v>13626</v>
      </c>
      <c r="AO10" s="225" t="s">
        <v>610</v>
      </c>
      <c r="AP10" s="68">
        <v>13626</v>
      </c>
      <c r="AQ10" s="225" t="s">
        <v>610</v>
      </c>
      <c r="AR10" s="68" t="s">
        <v>610</v>
      </c>
      <c r="AS10" s="68" t="s">
        <v>610</v>
      </c>
      <c r="AT10" s="145">
        <v>250</v>
      </c>
      <c r="AU10" s="68">
        <v>25</v>
      </c>
      <c r="AV10" s="369" t="s">
        <v>35</v>
      </c>
      <c r="AW10" s="371" t="s">
        <v>986</v>
      </c>
      <c r="AX10" s="369" t="s">
        <v>478</v>
      </c>
      <c r="AY10" s="369" t="s">
        <v>306</v>
      </c>
      <c r="AZ10" s="396" t="s">
        <v>471</v>
      </c>
    </row>
    <row r="11" spans="1:52" s="372" customFormat="1" ht="15.75">
      <c r="A11" s="186">
        <v>3.6</v>
      </c>
      <c r="B11" s="394" t="s">
        <v>803</v>
      </c>
      <c r="C11" s="369" t="s">
        <v>804</v>
      </c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8"/>
      <c r="T11" s="368"/>
      <c r="U11" s="368"/>
      <c r="V11" s="368"/>
      <c r="W11" s="368"/>
      <c r="X11" s="368"/>
      <c r="Y11" s="368"/>
      <c r="Z11" s="368"/>
      <c r="AA11" s="368"/>
      <c r="AB11" s="368"/>
      <c r="AC11" s="368"/>
      <c r="AD11" s="368"/>
      <c r="AE11" s="368"/>
      <c r="AF11" s="368"/>
      <c r="AG11" s="368"/>
      <c r="AH11" s="369"/>
      <c r="AI11" s="370"/>
      <c r="AJ11" s="68">
        <v>1400</v>
      </c>
      <c r="AK11" s="68">
        <v>0</v>
      </c>
      <c r="AL11" s="145">
        <v>9300</v>
      </c>
      <c r="AM11" s="68">
        <v>15.5</v>
      </c>
      <c r="AN11" s="68">
        <v>6813</v>
      </c>
      <c r="AO11" s="225" t="s">
        <v>610</v>
      </c>
      <c r="AP11" s="68">
        <v>6813</v>
      </c>
      <c r="AQ11" s="225" t="s">
        <v>610</v>
      </c>
      <c r="AR11" s="68" t="s">
        <v>610</v>
      </c>
      <c r="AS11" s="68" t="s">
        <v>610</v>
      </c>
      <c r="AT11" s="145">
        <v>561</v>
      </c>
      <c r="AU11" s="68">
        <v>33.66</v>
      </c>
      <c r="AV11" s="369" t="s">
        <v>805</v>
      </c>
      <c r="AW11" s="371" t="s">
        <v>865</v>
      </c>
      <c r="AX11" s="369" t="s">
        <v>311</v>
      </c>
      <c r="AY11" s="369" t="s">
        <v>306</v>
      </c>
      <c r="AZ11" s="396" t="s">
        <v>471</v>
      </c>
    </row>
    <row r="12" spans="1:52" s="372" customFormat="1" ht="15.75">
      <c r="A12" s="390">
        <v>3.7</v>
      </c>
      <c r="B12" s="394" t="s">
        <v>499</v>
      </c>
      <c r="C12" s="369" t="s">
        <v>500</v>
      </c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8"/>
      <c r="Q12" s="368"/>
      <c r="R12" s="368"/>
      <c r="S12" s="368"/>
      <c r="T12" s="368"/>
      <c r="U12" s="368"/>
      <c r="V12" s="368"/>
      <c r="W12" s="368"/>
      <c r="X12" s="368"/>
      <c r="Y12" s="368"/>
      <c r="Z12" s="368"/>
      <c r="AA12" s="368"/>
      <c r="AB12" s="368"/>
      <c r="AC12" s="368"/>
      <c r="AD12" s="368"/>
      <c r="AE12" s="368"/>
      <c r="AF12" s="368"/>
      <c r="AG12" s="368"/>
      <c r="AH12" s="369">
        <v>122</v>
      </c>
      <c r="AI12" s="370">
        <v>2.17</v>
      </c>
      <c r="AJ12" s="370"/>
      <c r="AK12" s="370"/>
      <c r="AL12" s="370"/>
      <c r="AM12" s="370"/>
      <c r="AN12" s="68">
        <v>75</v>
      </c>
      <c r="AO12" s="225" t="s">
        <v>610</v>
      </c>
      <c r="AP12" s="68">
        <v>75</v>
      </c>
      <c r="AQ12" s="225" t="s">
        <v>610</v>
      </c>
      <c r="AR12" s="225"/>
      <c r="AS12" s="225"/>
      <c r="AT12" s="225"/>
      <c r="AU12" s="225"/>
      <c r="AV12" s="369" t="s">
        <v>35</v>
      </c>
      <c r="AW12" s="371" t="s">
        <v>49</v>
      </c>
      <c r="AX12" s="369" t="s">
        <v>478</v>
      </c>
      <c r="AY12" s="369" t="s">
        <v>306</v>
      </c>
      <c r="AZ12" s="396" t="s">
        <v>480</v>
      </c>
    </row>
    <row r="13" spans="1:52" s="377" customFormat="1" ht="30" hidden="1">
      <c r="A13" s="391" t="s">
        <v>481</v>
      </c>
      <c r="B13" s="395" t="s">
        <v>482</v>
      </c>
      <c r="C13" s="375" t="s">
        <v>483</v>
      </c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4"/>
      <c r="Y13" s="374"/>
      <c r="Z13" s="374"/>
      <c r="AA13" s="374"/>
      <c r="AB13" s="374"/>
      <c r="AC13" s="374"/>
      <c r="AD13" s="374"/>
      <c r="AE13" s="374"/>
      <c r="AF13" s="374"/>
      <c r="AG13" s="374"/>
      <c r="AH13" s="375">
        <v>17</v>
      </c>
      <c r="AI13" s="376">
        <f>8600/100000</f>
        <v>0.086</v>
      </c>
      <c r="AJ13" s="376"/>
      <c r="AK13" s="376"/>
      <c r="AL13" s="376"/>
      <c r="AM13" s="376"/>
      <c r="AN13" s="376"/>
      <c r="AO13" s="376"/>
      <c r="AP13" s="376"/>
      <c r="AQ13" s="376"/>
      <c r="AR13" s="376"/>
      <c r="AS13" s="376"/>
      <c r="AT13" s="376"/>
      <c r="AU13" s="376"/>
      <c r="AV13" s="375" t="s">
        <v>35</v>
      </c>
      <c r="AW13" s="371" t="s">
        <v>484</v>
      </c>
      <c r="AX13" s="375" t="s">
        <v>485</v>
      </c>
      <c r="AY13" s="375" t="s">
        <v>470</v>
      </c>
      <c r="AZ13" s="397" t="s">
        <v>486</v>
      </c>
    </row>
    <row r="14" spans="1:52" s="377" customFormat="1" ht="30" hidden="1">
      <c r="A14" s="391">
        <v>3.1</v>
      </c>
      <c r="B14" s="395" t="s">
        <v>487</v>
      </c>
      <c r="C14" s="375" t="s">
        <v>488</v>
      </c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4"/>
      <c r="Y14" s="374"/>
      <c r="Z14" s="374"/>
      <c r="AA14" s="374"/>
      <c r="AB14" s="374"/>
      <c r="AC14" s="374"/>
      <c r="AD14" s="374"/>
      <c r="AE14" s="374"/>
      <c r="AF14" s="374"/>
      <c r="AG14" s="374"/>
      <c r="AH14" s="375">
        <v>1373</v>
      </c>
      <c r="AI14" s="376">
        <f>549700/100000</f>
        <v>5.497</v>
      </c>
      <c r="AJ14" s="376"/>
      <c r="AK14" s="376"/>
      <c r="AL14" s="376"/>
      <c r="AM14" s="376"/>
      <c r="AN14" s="376"/>
      <c r="AO14" s="376"/>
      <c r="AP14" s="376"/>
      <c r="AQ14" s="376"/>
      <c r="AR14" s="376"/>
      <c r="AS14" s="376"/>
      <c r="AT14" s="376"/>
      <c r="AU14" s="376"/>
      <c r="AV14" s="375" t="s">
        <v>35</v>
      </c>
      <c r="AW14" s="371" t="s">
        <v>489</v>
      </c>
      <c r="AX14" s="375" t="s">
        <v>490</v>
      </c>
      <c r="AY14" s="375" t="s">
        <v>491</v>
      </c>
      <c r="AZ14" s="397" t="s">
        <v>492</v>
      </c>
    </row>
    <row r="15" spans="1:52" s="377" customFormat="1" ht="30" hidden="1">
      <c r="A15" s="391">
        <v>3.6</v>
      </c>
      <c r="B15" s="395" t="s">
        <v>493</v>
      </c>
      <c r="C15" s="375" t="s">
        <v>494</v>
      </c>
      <c r="D15" s="374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W15" s="374"/>
      <c r="X15" s="374"/>
      <c r="Y15" s="374"/>
      <c r="Z15" s="374"/>
      <c r="AA15" s="374"/>
      <c r="AB15" s="374"/>
      <c r="AC15" s="374"/>
      <c r="AD15" s="374"/>
      <c r="AE15" s="374"/>
      <c r="AF15" s="374"/>
      <c r="AG15" s="374"/>
      <c r="AH15" s="375">
        <v>4481</v>
      </c>
      <c r="AI15" s="376">
        <f>2348640/100000</f>
        <v>23.4864</v>
      </c>
      <c r="AJ15" s="376"/>
      <c r="AK15" s="376"/>
      <c r="AL15" s="376"/>
      <c r="AM15" s="376"/>
      <c r="AN15" s="376"/>
      <c r="AO15" s="376"/>
      <c r="AP15" s="376"/>
      <c r="AQ15" s="376"/>
      <c r="AR15" s="376"/>
      <c r="AS15" s="376"/>
      <c r="AT15" s="376"/>
      <c r="AU15" s="376"/>
      <c r="AV15" s="375" t="s">
        <v>35</v>
      </c>
      <c r="AW15" s="371" t="s">
        <v>495</v>
      </c>
      <c r="AX15" s="375" t="s">
        <v>490</v>
      </c>
      <c r="AY15" s="375" t="s">
        <v>491</v>
      </c>
      <c r="AZ15" s="397" t="s">
        <v>492</v>
      </c>
    </row>
    <row r="16" spans="1:52" s="377" customFormat="1" ht="45" hidden="1">
      <c r="A16" s="391">
        <v>3.5</v>
      </c>
      <c r="B16" s="395" t="s">
        <v>496</v>
      </c>
      <c r="C16" s="392" t="s">
        <v>497</v>
      </c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378"/>
      <c r="Z16" s="378"/>
      <c r="AA16" s="378"/>
      <c r="AB16" s="378"/>
      <c r="AC16" s="378"/>
      <c r="AD16" s="378"/>
      <c r="AE16" s="378"/>
      <c r="AF16" s="378"/>
      <c r="AG16" s="378"/>
      <c r="AH16" s="375">
        <v>500</v>
      </c>
      <c r="AI16" s="376">
        <v>6.7</v>
      </c>
      <c r="AJ16" s="376"/>
      <c r="AK16" s="376"/>
      <c r="AL16" s="376"/>
      <c r="AM16" s="376"/>
      <c r="AN16" s="376"/>
      <c r="AO16" s="376"/>
      <c r="AP16" s="376"/>
      <c r="AQ16" s="376"/>
      <c r="AR16" s="376"/>
      <c r="AS16" s="376"/>
      <c r="AT16" s="376"/>
      <c r="AU16" s="376"/>
      <c r="AV16" s="375" t="s">
        <v>35</v>
      </c>
      <c r="AW16" s="371" t="s">
        <v>498</v>
      </c>
      <c r="AX16" s="375" t="s">
        <v>490</v>
      </c>
      <c r="AY16" s="375" t="s">
        <v>491</v>
      </c>
      <c r="AZ16" s="397" t="s">
        <v>492</v>
      </c>
    </row>
    <row r="17" spans="1:52" s="377" customFormat="1" ht="48" thickBot="1">
      <c r="A17" s="182" t="s">
        <v>737</v>
      </c>
      <c r="B17" s="147" t="s">
        <v>738</v>
      </c>
      <c r="C17" s="240" t="s">
        <v>739</v>
      </c>
      <c r="D17" s="379"/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P17" s="68"/>
      <c r="Q17" s="145"/>
      <c r="R17" s="68"/>
      <c r="S17" s="79"/>
      <c r="T17" s="380"/>
      <c r="U17" s="380"/>
      <c r="V17" s="380"/>
      <c r="W17" s="380"/>
      <c r="X17" s="380"/>
      <c r="Y17" s="380"/>
      <c r="Z17" s="380"/>
      <c r="AA17" s="380"/>
      <c r="AB17" s="68">
        <v>45</v>
      </c>
      <c r="AC17" s="145">
        <v>0</v>
      </c>
      <c r="AD17" s="68">
        <v>66</v>
      </c>
      <c r="AE17" s="79">
        <v>22.6</v>
      </c>
      <c r="AF17" s="380"/>
      <c r="AG17" s="380"/>
      <c r="AH17" s="381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68" t="s">
        <v>35</v>
      </c>
      <c r="AW17" s="383"/>
      <c r="AX17" s="55" t="s">
        <v>740</v>
      </c>
      <c r="AY17" s="381" t="s">
        <v>306</v>
      </c>
      <c r="AZ17" s="398" t="s">
        <v>471</v>
      </c>
    </row>
    <row r="18" spans="1:52" ht="21" customHeight="1" thickBot="1">
      <c r="A18" s="384"/>
      <c r="B18" s="385" t="s">
        <v>17</v>
      </c>
      <c r="C18" s="385"/>
      <c r="D18" s="385">
        <f>SUM(D6:D17)</f>
        <v>0</v>
      </c>
      <c r="E18" s="385">
        <f aca="true" t="shared" si="0" ref="E18:AU18">SUM(E6:E17)</f>
        <v>0</v>
      </c>
      <c r="F18" s="385">
        <f t="shared" si="0"/>
        <v>38</v>
      </c>
      <c r="G18" s="385">
        <f t="shared" si="0"/>
        <v>0.8</v>
      </c>
      <c r="H18" s="385">
        <f t="shared" si="0"/>
        <v>0</v>
      </c>
      <c r="I18" s="385">
        <f t="shared" si="0"/>
        <v>0</v>
      </c>
      <c r="J18" s="385">
        <f t="shared" si="0"/>
        <v>0</v>
      </c>
      <c r="K18" s="385">
        <f t="shared" si="0"/>
        <v>0</v>
      </c>
      <c r="L18" s="385">
        <f t="shared" si="0"/>
        <v>0</v>
      </c>
      <c r="M18" s="385">
        <f t="shared" si="0"/>
        <v>0</v>
      </c>
      <c r="N18" s="385">
        <f t="shared" si="0"/>
        <v>0</v>
      </c>
      <c r="O18" s="385">
        <f t="shared" si="0"/>
        <v>0</v>
      </c>
      <c r="P18" s="385">
        <f t="shared" si="0"/>
        <v>0</v>
      </c>
      <c r="Q18" s="385">
        <f t="shared" si="0"/>
        <v>0</v>
      </c>
      <c r="R18" s="385">
        <f t="shared" si="0"/>
        <v>19</v>
      </c>
      <c r="S18" s="385">
        <f t="shared" si="0"/>
        <v>1.05</v>
      </c>
      <c r="T18" s="385">
        <f t="shared" si="0"/>
        <v>240</v>
      </c>
      <c r="U18" s="385">
        <f t="shared" si="0"/>
        <v>12</v>
      </c>
      <c r="V18" s="385">
        <f t="shared" si="0"/>
        <v>0</v>
      </c>
      <c r="W18" s="385">
        <f t="shared" si="0"/>
        <v>0</v>
      </c>
      <c r="X18" s="385">
        <f t="shared" si="0"/>
        <v>0</v>
      </c>
      <c r="Y18" s="385">
        <f t="shared" si="0"/>
        <v>0</v>
      </c>
      <c r="Z18" s="385">
        <f t="shared" si="0"/>
        <v>0</v>
      </c>
      <c r="AA18" s="385">
        <f t="shared" si="0"/>
        <v>0</v>
      </c>
      <c r="AB18" s="385">
        <f t="shared" si="0"/>
        <v>45</v>
      </c>
      <c r="AC18" s="385">
        <f t="shared" si="0"/>
        <v>0</v>
      </c>
      <c r="AD18" s="385">
        <f t="shared" si="0"/>
        <v>66</v>
      </c>
      <c r="AE18" s="385">
        <f t="shared" si="0"/>
        <v>22.6</v>
      </c>
      <c r="AF18" s="385">
        <f t="shared" si="0"/>
        <v>0</v>
      </c>
      <c r="AG18" s="385">
        <f t="shared" si="0"/>
        <v>0</v>
      </c>
      <c r="AH18" s="385">
        <f t="shared" si="0"/>
        <v>47207</v>
      </c>
      <c r="AI18" s="385">
        <f t="shared" si="0"/>
        <v>254.94940000000003</v>
      </c>
      <c r="AJ18" s="385">
        <f t="shared" si="0"/>
        <v>1550</v>
      </c>
      <c r="AK18" s="385">
        <f t="shared" si="0"/>
        <v>140</v>
      </c>
      <c r="AL18" s="385">
        <f t="shared" si="0"/>
        <v>9545</v>
      </c>
      <c r="AM18" s="385">
        <f t="shared" si="0"/>
        <v>58.75</v>
      </c>
      <c r="AN18" s="385">
        <f t="shared" si="0"/>
        <v>24919</v>
      </c>
      <c r="AO18" s="385">
        <f t="shared" si="0"/>
        <v>0</v>
      </c>
      <c r="AP18" s="385">
        <f t="shared" si="0"/>
        <v>24919</v>
      </c>
      <c r="AQ18" s="385">
        <f t="shared" si="0"/>
        <v>0</v>
      </c>
      <c r="AR18" s="385">
        <f t="shared" si="0"/>
        <v>0</v>
      </c>
      <c r="AS18" s="385">
        <f t="shared" si="0"/>
        <v>0</v>
      </c>
      <c r="AT18" s="385">
        <f t="shared" si="0"/>
        <v>1033</v>
      </c>
      <c r="AU18" s="385">
        <f t="shared" si="0"/>
        <v>76.75999999999999</v>
      </c>
      <c r="AV18" s="386"/>
      <c r="AW18" s="386"/>
      <c r="AX18" s="386"/>
      <c r="AY18" s="387"/>
      <c r="AZ18" s="399"/>
    </row>
    <row r="19" ht="21.75" customHeight="1">
      <c r="AV19" s="388"/>
    </row>
    <row r="20" ht="21.75" customHeight="1">
      <c r="AV20" s="388"/>
    </row>
    <row r="21" ht="21.75" customHeight="1">
      <c r="AV21" s="388"/>
    </row>
    <row r="22" ht="21.75" customHeight="1">
      <c r="AV22" s="389"/>
    </row>
    <row r="23" ht="21.75" customHeight="1">
      <c r="AV23" s="388"/>
    </row>
    <row r="24" ht="21.75" customHeight="1">
      <c r="AV24" s="352"/>
    </row>
  </sheetData>
  <sheetProtection/>
  <mergeCells count="43">
    <mergeCell ref="AW4:AW5"/>
    <mergeCell ref="AX4:AX5"/>
    <mergeCell ref="AF4:AG4"/>
    <mergeCell ref="AF3:AI3"/>
    <mergeCell ref="AR3:AU3"/>
    <mergeCell ref="AR4:AS4"/>
    <mergeCell ref="AT4:AU4"/>
    <mergeCell ref="AN4:AO4"/>
    <mergeCell ref="AP4:AQ4"/>
    <mergeCell ref="A1:AZ1"/>
    <mergeCell ref="AY4:AY5"/>
    <mergeCell ref="AZ4:AZ5"/>
    <mergeCell ref="A4:A5"/>
    <mergeCell ref="B4:B5"/>
    <mergeCell ref="C4:C5"/>
    <mergeCell ref="R4:S4"/>
    <mergeCell ref="X3:AA3"/>
    <mergeCell ref="AN3:AQ3"/>
    <mergeCell ref="AV4:AV5"/>
    <mergeCell ref="D3:G3"/>
    <mergeCell ref="AB4:AC4"/>
    <mergeCell ref="H3:K3"/>
    <mergeCell ref="L3:O3"/>
    <mergeCell ref="H4:I4"/>
    <mergeCell ref="J4:K4"/>
    <mergeCell ref="P3:S3"/>
    <mergeCell ref="A2:AZ2"/>
    <mergeCell ref="D4:E4"/>
    <mergeCell ref="F4:G4"/>
    <mergeCell ref="AJ3:AM3"/>
    <mergeCell ref="AJ4:AK4"/>
    <mergeCell ref="AL4:AM4"/>
    <mergeCell ref="T3:W3"/>
    <mergeCell ref="X4:Y4"/>
    <mergeCell ref="Z4:AA4"/>
    <mergeCell ref="AH4:AI4"/>
    <mergeCell ref="T4:U4"/>
    <mergeCell ref="V4:W4"/>
    <mergeCell ref="AB3:AE3"/>
    <mergeCell ref="P4:Q4"/>
    <mergeCell ref="L4:M4"/>
    <mergeCell ref="N4:O4"/>
    <mergeCell ref="AD4:AE4"/>
  </mergeCells>
  <printOptions/>
  <pageMargins left="0.7" right="0.7" top="0.75" bottom="0.75" header="0.3" footer="0.3"/>
  <pageSetup horizontalDpi="600" verticalDpi="600" orientation="landscape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18"/>
  <sheetViews>
    <sheetView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4" sqref="E4"/>
    </sheetView>
  </sheetViews>
  <sheetFormatPr defaultColWidth="9.140625" defaultRowHeight="15"/>
  <cols>
    <col min="2" max="2" width="28.57421875" style="65" customWidth="1"/>
    <col min="3" max="3" width="22.57421875" style="0" customWidth="1"/>
    <col min="6" max="6" width="10.28125" style="0" customWidth="1"/>
    <col min="8" max="8" width="14.421875" style="0" customWidth="1"/>
    <col min="9" max="9" width="11.421875" style="0" customWidth="1"/>
    <col min="10" max="10" width="28.140625" style="0" customWidth="1"/>
    <col min="11" max="11" width="0" style="0" hidden="1" customWidth="1"/>
  </cols>
  <sheetData>
    <row r="1" spans="1:11" s="31" customFormat="1" ht="21">
      <c r="A1" s="1456" t="s">
        <v>264</v>
      </c>
      <c r="B1" s="1457"/>
      <c r="C1" s="1457"/>
      <c r="D1" s="1457"/>
      <c r="E1" s="1457"/>
      <c r="F1" s="1457"/>
      <c r="G1" s="1457"/>
      <c r="H1" s="1457"/>
      <c r="I1" s="1457"/>
      <c r="J1" s="1457"/>
      <c r="K1" s="1458"/>
    </row>
    <row r="2" spans="1:11" ht="18">
      <c r="A2" s="1459" t="s">
        <v>1</v>
      </c>
      <c r="B2" s="1460"/>
      <c r="C2" s="1460"/>
      <c r="D2" s="1460"/>
      <c r="E2" s="1460"/>
      <c r="F2" s="1460"/>
      <c r="G2" s="1460"/>
      <c r="H2" s="1460"/>
      <c r="I2" s="1460"/>
      <c r="J2" s="1460"/>
      <c r="K2" s="1461"/>
    </row>
    <row r="3" spans="1:11" ht="15.75">
      <c r="A3" s="1463" t="s">
        <v>537</v>
      </c>
      <c r="B3" s="1454" t="s">
        <v>187</v>
      </c>
      <c r="C3" s="1454" t="s">
        <v>20</v>
      </c>
      <c r="D3" s="1455" t="s">
        <v>113</v>
      </c>
      <c r="E3" s="1455"/>
      <c r="F3" s="1454" t="s">
        <v>4</v>
      </c>
      <c r="G3" s="1454" t="s">
        <v>536</v>
      </c>
      <c r="H3" s="1454" t="s">
        <v>5</v>
      </c>
      <c r="I3" s="1454" t="s">
        <v>83</v>
      </c>
      <c r="J3" s="1454" t="s">
        <v>84</v>
      </c>
      <c r="K3" s="1462" t="s">
        <v>266</v>
      </c>
    </row>
    <row r="4" spans="1:11" ht="45.75">
      <c r="A4" s="1338"/>
      <c r="B4" s="1454"/>
      <c r="C4" s="1454"/>
      <c r="D4" s="53" t="s">
        <v>6</v>
      </c>
      <c r="E4" s="53" t="s">
        <v>188</v>
      </c>
      <c r="F4" s="1454"/>
      <c r="G4" s="1454"/>
      <c r="H4" s="1454"/>
      <c r="I4" s="1454"/>
      <c r="J4" s="1454"/>
      <c r="K4" s="1462"/>
    </row>
    <row r="5" spans="1:11" ht="28.5">
      <c r="A5" s="57">
        <v>1</v>
      </c>
      <c r="B5" s="47" t="s">
        <v>501</v>
      </c>
      <c r="C5" s="54" t="s">
        <v>36</v>
      </c>
      <c r="D5" s="46">
        <v>47</v>
      </c>
      <c r="E5" s="77">
        <v>8</v>
      </c>
      <c r="F5" s="45" t="s">
        <v>502</v>
      </c>
      <c r="G5" s="45" t="s">
        <v>503</v>
      </c>
      <c r="H5" s="45" t="s">
        <v>504</v>
      </c>
      <c r="I5" s="67" t="s">
        <v>306</v>
      </c>
      <c r="J5" s="68" t="s">
        <v>540</v>
      </c>
      <c r="K5" s="69"/>
    </row>
    <row r="6" spans="1:11" ht="15.75">
      <c r="A6" s="58">
        <v>2</v>
      </c>
      <c r="B6" s="47" t="s">
        <v>505</v>
      </c>
      <c r="C6" s="54" t="s">
        <v>36</v>
      </c>
      <c r="D6" s="46">
        <v>80</v>
      </c>
      <c r="E6" s="77">
        <v>4.5</v>
      </c>
      <c r="F6" s="45" t="s">
        <v>506</v>
      </c>
      <c r="G6" s="45" t="s">
        <v>507</v>
      </c>
      <c r="H6" s="45" t="s">
        <v>504</v>
      </c>
      <c r="I6" s="67" t="s">
        <v>306</v>
      </c>
      <c r="J6" s="68" t="s">
        <v>541</v>
      </c>
      <c r="K6" s="69"/>
    </row>
    <row r="7" spans="1:11" ht="15.75">
      <c r="A7" s="57">
        <v>3</v>
      </c>
      <c r="B7" s="47" t="s">
        <v>508</v>
      </c>
      <c r="C7" s="54"/>
      <c r="D7" s="46">
        <v>69</v>
      </c>
      <c r="E7" s="77">
        <v>12</v>
      </c>
      <c r="F7" s="45" t="s">
        <v>509</v>
      </c>
      <c r="G7" s="45" t="s">
        <v>510</v>
      </c>
      <c r="H7" s="70" t="s">
        <v>511</v>
      </c>
      <c r="I7" s="67" t="s">
        <v>306</v>
      </c>
      <c r="J7" s="68" t="s">
        <v>541</v>
      </c>
      <c r="K7" s="69"/>
    </row>
    <row r="8" spans="1:11" ht="28.5">
      <c r="A8" s="57">
        <v>4</v>
      </c>
      <c r="B8" s="61" t="s">
        <v>512</v>
      </c>
      <c r="C8" s="54" t="s">
        <v>479</v>
      </c>
      <c r="D8" s="48">
        <v>43530</v>
      </c>
      <c r="E8" s="77">
        <v>13.06</v>
      </c>
      <c r="F8" s="49" t="s">
        <v>35</v>
      </c>
      <c r="G8" s="49" t="s">
        <v>513</v>
      </c>
      <c r="H8" s="71" t="s">
        <v>514</v>
      </c>
      <c r="I8" s="67" t="s">
        <v>306</v>
      </c>
      <c r="J8" s="68" t="s">
        <v>542</v>
      </c>
      <c r="K8" s="69"/>
    </row>
    <row r="9" spans="1:11" ht="15.75">
      <c r="A9" s="58">
        <v>5</v>
      </c>
      <c r="B9" s="61" t="s">
        <v>515</v>
      </c>
      <c r="C9" s="54" t="s">
        <v>516</v>
      </c>
      <c r="D9" s="50">
        <v>3300</v>
      </c>
      <c r="E9" s="77">
        <v>30</v>
      </c>
      <c r="F9" s="49" t="s">
        <v>37</v>
      </c>
      <c r="G9" s="49" t="s">
        <v>517</v>
      </c>
      <c r="H9" s="71" t="s">
        <v>518</v>
      </c>
      <c r="I9" s="67" t="s">
        <v>306</v>
      </c>
      <c r="J9" s="68" t="s">
        <v>542</v>
      </c>
      <c r="K9" s="69"/>
    </row>
    <row r="10" spans="1:11" ht="15.75">
      <c r="A10" s="57">
        <v>6</v>
      </c>
      <c r="B10" s="47" t="s">
        <v>519</v>
      </c>
      <c r="C10" s="54" t="s">
        <v>34</v>
      </c>
      <c r="D10" s="46">
        <v>90</v>
      </c>
      <c r="E10" s="77">
        <v>4.2</v>
      </c>
      <c r="F10" s="45" t="s">
        <v>37</v>
      </c>
      <c r="G10" s="45" t="s">
        <v>520</v>
      </c>
      <c r="H10" s="70" t="s">
        <v>511</v>
      </c>
      <c r="I10" s="67" t="s">
        <v>306</v>
      </c>
      <c r="J10" s="68" t="s">
        <v>542</v>
      </c>
      <c r="K10" s="69"/>
    </row>
    <row r="11" spans="1:11" ht="28.5">
      <c r="A11" s="57">
        <v>7</v>
      </c>
      <c r="B11" s="61" t="s">
        <v>521</v>
      </c>
      <c r="C11" s="54" t="s">
        <v>34</v>
      </c>
      <c r="D11" s="48">
        <v>375</v>
      </c>
      <c r="E11" s="77">
        <v>3.75</v>
      </c>
      <c r="F11" s="49" t="s">
        <v>35</v>
      </c>
      <c r="G11" s="49" t="s">
        <v>522</v>
      </c>
      <c r="H11" s="71" t="s">
        <v>518</v>
      </c>
      <c r="I11" s="67" t="s">
        <v>306</v>
      </c>
      <c r="J11" s="68" t="s">
        <v>542</v>
      </c>
      <c r="K11" s="69"/>
    </row>
    <row r="12" spans="1:11" ht="71.25">
      <c r="A12" s="58">
        <v>8</v>
      </c>
      <c r="B12" s="62" t="s">
        <v>523</v>
      </c>
      <c r="C12" s="54" t="s">
        <v>538</v>
      </c>
      <c r="D12" s="46">
        <v>120</v>
      </c>
      <c r="E12" s="77">
        <v>2.4</v>
      </c>
      <c r="F12" s="45" t="s">
        <v>524</v>
      </c>
      <c r="G12" s="45" t="s">
        <v>525</v>
      </c>
      <c r="H12" s="70" t="s">
        <v>526</v>
      </c>
      <c r="I12" s="67" t="s">
        <v>306</v>
      </c>
      <c r="J12" s="68" t="s">
        <v>542</v>
      </c>
      <c r="K12" s="69"/>
    </row>
    <row r="13" spans="1:11" ht="15">
      <c r="A13" s="57">
        <v>9</v>
      </c>
      <c r="B13" s="47" t="s">
        <v>527</v>
      </c>
      <c r="C13" s="54" t="s">
        <v>539</v>
      </c>
      <c r="D13" s="66">
        <v>30</v>
      </c>
      <c r="E13" s="77">
        <v>1.4</v>
      </c>
      <c r="F13" s="45" t="s">
        <v>23</v>
      </c>
      <c r="G13" s="45" t="s">
        <v>528</v>
      </c>
      <c r="H13" s="70" t="s">
        <v>511</v>
      </c>
      <c r="I13" s="67" t="s">
        <v>306</v>
      </c>
      <c r="J13" s="68" t="s">
        <v>540</v>
      </c>
      <c r="K13" s="69"/>
    </row>
    <row r="14" spans="1:11" ht="30">
      <c r="A14" s="57">
        <v>10</v>
      </c>
      <c r="B14" s="60" t="s">
        <v>529</v>
      </c>
      <c r="C14" s="54" t="s">
        <v>530</v>
      </c>
      <c r="D14" s="51">
        <v>50</v>
      </c>
      <c r="E14" s="78">
        <v>7.2</v>
      </c>
      <c r="F14" s="51" t="s">
        <v>9</v>
      </c>
      <c r="G14" s="72">
        <v>3</v>
      </c>
      <c r="H14" s="73" t="s">
        <v>511</v>
      </c>
      <c r="I14" s="67" t="s">
        <v>306</v>
      </c>
      <c r="J14" s="68" t="s">
        <v>540</v>
      </c>
      <c r="K14" s="69"/>
    </row>
    <row r="15" spans="1:11" ht="90">
      <c r="A15" s="58">
        <v>11</v>
      </c>
      <c r="B15" s="60" t="s">
        <v>531</v>
      </c>
      <c r="C15" s="55" t="s">
        <v>532</v>
      </c>
      <c r="D15" s="51">
        <v>150</v>
      </c>
      <c r="E15" s="79">
        <v>2.4</v>
      </c>
      <c r="F15" s="51" t="s">
        <v>35</v>
      </c>
      <c r="G15" s="68" t="s">
        <v>533</v>
      </c>
      <c r="H15" s="73" t="s">
        <v>511</v>
      </c>
      <c r="I15" s="67" t="s">
        <v>306</v>
      </c>
      <c r="J15" s="68" t="s">
        <v>540</v>
      </c>
      <c r="K15" s="69"/>
    </row>
    <row r="16" spans="1:11" ht="45.75" thickBot="1">
      <c r="A16" s="59">
        <v>12</v>
      </c>
      <c r="B16" s="63" t="s">
        <v>534</v>
      </c>
      <c r="C16" s="56" t="s">
        <v>486</v>
      </c>
      <c r="D16" s="52">
        <v>60</v>
      </c>
      <c r="E16" s="80">
        <v>0.8</v>
      </c>
      <c r="F16" s="52" t="s">
        <v>35</v>
      </c>
      <c r="G16" s="74" t="s">
        <v>535</v>
      </c>
      <c r="H16" s="75" t="s">
        <v>511</v>
      </c>
      <c r="I16" s="67" t="s">
        <v>306</v>
      </c>
      <c r="J16" s="68" t="s">
        <v>540</v>
      </c>
      <c r="K16" s="76"/>
    </row>
    <row r="17" spans="1:11" ht="21" customHeight="1" thickBot="1">
      <c r="A17" s="81"/>
      <c r="B17" s="82" t="s">
        <v>17</v>
      </c>
      <c r="C17" s="82"/>
      <c r="D17" s="83">
        <f>SUM(D5:D16)</f>
        <v>47901</v>
      </c>
      <c r="E17" s="84">
        <f>SUM(E5:E16)</f>
        <v>89.71000000000002</v>
      </c>
      <c r="F17" s="84"/>
      <c r="G17" s="84"/>
      <c r="H17" s="84"/>
      <c r="I17" s="85"/>
      <c r="J17" s="85"/>
      <c r="K17" s="86"/>
    </row>
    <row r="18" spans="1:11" ht="15.75">
      <c r="A18" s="23"/>
      <c r="B18" s="64"/>
      <c r="C18" s="11"/>
      <c r="D18" s="23"/>
      <c r="E18" s="23"/>
      <c r="F18" s="22"/>
      <c r="G18" s="23"/>
      <c r="H18" s="22"/>
      <c r="I18" s="22"/>
      <c r="J18" s="22"/>
      <c r="K18" s="28"/>
    </row>
  </sheetData>
  <sheetProtection/>
  <mergeCells count="12">
    <mergeCell ref="A3:A4"/>
    <mergeCell ref="B3:B4"/>
    <mergeCell ref="C3:C4"/>
    <mergeCell ref="D3:E3"/>
    <mergeCell ref="F3:F4"/>
    <mergeCell ref="G3:G4"/>
    <mergeCell ref="H3:H4"/>
    <mergeCell ref="A1:K1"/>
    <mergeCell ref="A2:K2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Z23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15.7109375" defaultRowHeight="21.75" customHeight="1"/>
  <cols>
    <col min="1" max="1" width="12.00390625" style="1002" customWidth="1"/>
    <col min="2" max="2" width="24.421875" style="1002" customWidth="1"/>
    <col min="3" max="3" width="22.8515625" style="197" customWidth="1"/>
    <col min="4" max="5" width="6.7109375" style="197" customWidth="1"/>
    <col min="6" max="6" width="6.57421875" style="197" customWidth="1"/>
    <col min="7" max="7" width="9.140625" style="197" customWidth="1"/>
    <col min="8" max="15" width="6.28125" style="197" customWidth="1"/>
    <col min="16" max="19" width="6.00390625" style="197" customWidth="1"/>
    <col min="20" max="24" width="6.57421875" style="197" customWidth="1"/>
    <col min="25" max="25" width="6.7109375" style="197" customWidth="1"/>
    <col min="26" max="26" width="6.57421875" style="197" customWidth="1"/>
    <col min="27" max="27" width="6.421875" style="197" customWidth="1"/>
    <col min="28" max="28" width="8.421875" style="197" customWidth="1"/>
    <col min="29" max="29" width="6.421875" style="197" customWidth="1"/>
    <col min="30" max="30" width="8.421875" style="197" customWidth="1"/>
    <col min="31" max="36" width="6.421875" style="197" customWidth="1"/>
    <col min="37" max="37" width="10.00390625" style="197" customWidth="1"/>
    <col min="38" max="41" width="6.421875" style="197" customWidth="1"/>
    <col min="42" max="42" width="8.421875" style="197" customWidth="1"/>
    <col min="43" max="43" width="6.421875" style="197" customWidth="1"/>
    <col min="44" max="47" width="7.140625" style="197" customWidth="1"/>
    <col min="48" max="48" width="12.28125" style="197" customWidth="1"/>
    <col min="49" max="49" width="23.140625" style="197" customWidth="1"/>
    <col min="50" max="50" width="12.00390625" style="197" customWidth="1"/>
    <col min="51" max="52" width="15.140625" style="197" customWidth="1"/>
    <col min="53" max="16384" width="15.7109375" style="197" customWidth="1"/>
  </cols>
  <sheetData>
    <row r="1" spans="1:52" ht="16.5" thickBot="1">
      <c r="A1" s="1464" t="s">
        <v>267</v>
      </c>
      <c r="B1" s="1465"/>
      <c r="C1" s="1465"/>
      <c r="D1" s="1465"/>
      <c r="E1" s="1465"/>
      <c r="F1" s="1465"/>
      <c r="G1" s="1465"/>
      <c r="H1" s="1465"/>
      <c r="I1" s="1465"/>
      <c r="J1" s="1465"/>
      <c r="K1" s="1465"/>
      <c r="L1" s="1465"/>
      <c r="M1" s="1465"/>
      <c r="N1" s="1465"/>
      <c r="O1" s="1465"/>
      <c r="P1" s="1465"/>
      <c r="Q1" s="1465"/>
      <c r="R1" s="1465"/>
      <c r="S1" s="1465"/>
      <c r="T1" s="1465"/>
      <c r="U1" s="1465"/>
      <c r="V1" s="1465"/>
      <c r="W1" s="1465"/>
      <c r="X1" s="1465"/>
      <c r="Y1" s="1465"/>
      <c r="Z1" s="1465"/>
      <c r="AA1" s="1465"/>
      <c r="AB1" s="1465"/>
      <c r="AC1" s="1465"/>
      <c r="AD1" s="1465"/>
      <c r="AE1" s="1465"/>
      <c r="AF1" s="1465"/>
      <c r="AG1" s="1465"/>
      <c r="AH1" s="1465"/>
      <c r="AI1" s="1465"/>
      <c r="AJ1" s="1465"/>
      <c r="AK1" s="1465"/>
      <c r="AL1" s="1465"/>
      <c r="AM1" s="1465"/>
      <c r="AN1" s="1465"/>
      <c r="AO1" s="1465"/>
      <c r="AP1" s="1465"/>
      <c r="AQ1" s="1465"/>
      <c r="AR1" s="1465"/>
      <c r="AS1" s="1465"/>
      <c r="AT1" s="1465"/>
      <c r="AU1" s="1465"/>
      <c r="AV1" s="1465"/>
      <c r="AW1" s="1465"/>
      <c r="AX1" s="1465"/>
      <c r="AY1" s="1465"/>
      <c r="AZ1" s="1466"/>
    </row>
    <row r="2" spans="1:52" ht="16.5" thickBot="1">
      <c r="A2" s="1297" t="s">
        <v>1</v>
      </c>
      <c r="B2" s="1298"/>
      <c r="C2" s="1298"/>
      <c r="D2" s="1298"/>
      <c r="E2" s="1298"/>
      <c r="F2" s="1298"/>
      <c r="G2" s="1298"/>
      <c r="H2" s="1298"/>
      <c r="I2" s="1298"/>
      <c r="J2" s="1298"/>
      <c r="K2" s="1298"/>
      <c r="L2" s="1298"/>
      <c r="M2" s="1298"/>
      <c r="N2" s="1298"/>
      <c r="O2" s="1298"/>
      <c r="P2" s="1298"/>
      <c r="Q2" s="1298"/>
      <c r="R2" s="1298"/>
      <c r="S2" s="1298"/>
      <c r="T2" s="1298"/>
      <c r="U2" s="1298"/>
      <c r="V2" s="1298"/>
      <c r="W2" s="1298"/>
      <c r="X2" s="1298"/>
      <c r="Y2" s="1298"/>
      <c r="Z2" s="1298"/>
      <c r="AA2" s="1298"/>
      <c r="AB2" s="1298"/>
      <c r="AC2" s="1298"/>
      <c r="AD2" s="1298"/>
      <c r="AE2" s="1298"/>
      <c r="AF2" s="1298"/>
      <c r="AG2" s="1298"/>
      <c r="AH2" s="1298"/>
      <c r="AI2" s="1298"/>
      <c r="AJ2" s="1298"/>
      <c r="AK2" s="1298"/>
      <c r="AL2" s="1298"/>
      <c r="AM2" s="1298"/>
      <c r="AN2" s="1298"/>
      <c r="AO2" s="1298"/>
      <c r="AP2" s="1298"/>
      <c r="AQ2" s="1298"/>
      <c r="AR2" s="1298"/>
      <c r="AS2" s="1298"/>
      <c r="AT2" s="1298"/>
      <c r="AU2" s="1298"/>
      <c r="AV2" s="1298"/>
      <c r="AW2" s="1298"/>
      <c r="AX2" s="1298"/>
      <c r="AY2" s="1298"/>
      <c r="AZ2" s="1299"/>
    </row>
    <row r="3" spans="1:52" ht="18.75" customHeight="1" thickBot="1">
      <c r="A3" s="1140"/>
      <c r="B3" s="1141"/>
      <c r="C3" s="1141"/>
      <c r="D3" s="1140" t="s">
        <v>988</v>
      </c>
      <c r="E3" s="1141"/>
      <c r="F3" s="1141"/>
      <c r="G3" s="1142"/>
      <c r="H3" s="1140" t="s">
        <v>989</v>
      </c>
      <c r="I3" s="1141"/>
      <c r="J3" s="1141"/>
      <c r="K3" s="1142"/>
      <c r="L3" s="1140" t="s">
        <v>990</v>
      </c>
      <c r="M3" s="1141"/>
      <c r="N3" s="1141"/>
      <c r="O3" s="1142"/>
      <c r="P3" s="1140" t="s">
        <v>991</v>
      </c>
      <c r="Q3" s="1141"/>
      <c r="R3" s="1141"/>
      <c r="S3" s="1142"/>
      <c r="T3" s="1140" t="s">
        <v>992</v>
      </c>
      <c r="U3" s="1141"/>
      <c r="V3" s="1141"/>
      <c r="W3" s="1142"/>
      <c r="X3" s="1140" t="s">
        <v>993</v>
      </c>
      <c r="Y3" s="1141"/>
      <c r="Z3" s="1141"/>
      <c r="AA3" s="1142"/>
      <c r="AB3" s="1140" t="s">
        <v>994</v>
      </c>
      <c r="AC3" s="1141"/>
      <c r="AD3" s="1141"/>
      <c r="AE3" s="1142"/>
      <c r="AF3" s="1140" t="s">
        <v>995</v>
      </c>
      <c r="AG3" s="1141"/>
      <c r="AH3" s="1141"/>
      <c r="AI3" s="1142"/>
      <c r="AJ3" s="1140" t="s">
        <v>996</v>
      </c>
      <c r="AK3" s="1141"/>
      <c r="AL3" s="1141"/>
      <c r="AM3" s="1142"/>
      <c r="AN3" s="1140" t="s">
        <v>997</v>
      </c>
      <c r="AO3" s="1141"/>
      <c r="AP3" s="1141"/>
      <c r="AQ3" s="1142"/>
      <c r="AR3" s="1140" t="s">
        <v>998</v>
      </c>
      <c r="AS3" s="1141"/>
      <c r="AT3" s="1141"/>
      <c r="AU3" s="1142"/>
      <c r="AV3" s="1140"/>
      <c r="AW3" s="1141"/>
      <c r="AX3" s="1141"/>
      <c r="AY3" s="1142"/>
      <c r="AZ3" s="408"/>
    </row>
    <row r="4" spans="1:52" ht="21.75" customHeight="1">
      <c r="A4" s="1467" t="s">
        <v>265</v>
      </c>
      <c r="B4" s="1469" t="s">
        <v>2</v>
      </c>
      <c r="C4" s="1414" t="s">
        <v>3</v>
      </c>
      <c r="D4" s="1397" t="s">
        <v>112</v>
      </c>
      <c r="E4" s="1397"/>
      <c r="F4" s="1397" t="s">
        <v>113</v>
      </c>
      <c r="G4" s="1397"/>
      <c r="H4" s="1397" t="s">
        <v>112</v>
      </c>
      <c r="I4" s="1397"/>
      <c r="J4" s="1397" t="s">
        <v>113</v>
      </c>
      <c r="K4" s="1397"/>
      <c r="L4" s="1397" t="s">
        <v>112</v>
      </c>
      <c r="M4" s="1397"/>
      <c r="N4" s="1397" t="s">
        <v>113</v>
      </c>
      <c r="O4" s="1397"/>
      <c r="P4" s="1397" t="s">
        <v>112</v>
      </c>
      <c r="Q4" s="1397"/>
      <c r="R4" s="1397" t="s">
        <v>113</v>
      </c>
      <c r="S4" s="1397"/>
      <c r="T4" s="1397" t="s">
        <v>112</v>
      </c>
      <c r="U4" s="1397"/>
      <c r="V4" s="1397" t="s">
        <v>113</v>
      </c>
      <c r="W4" s="1397"/>
      <c r="X4" s="1397" t="s">
        <v>112</v>
      </c>
      <c r="Y4" s="1397"/>
      <c r="Z4" s="1397" t="s">
        <v>113</v>
      </c>
      <c r="AA4" s="1397"/>
      <c r="AB4" s="1397" t="s">
        <v>112</v>
      </c>
      <c r="AC4" s="1397"/>
      <c r="AD4" s="1397" t="s">
        <v>113</v>
      </c>
      <c r="AE4" s="1397"/>
      <c r="AF4" s="1397" t="s">
        <v>112</v>
      </c>
      <c r="AG4" s="1397"/>
      <c r="AH4" s="1397" t="s">
        <v>113</v>
      </c>
      <c r="AI4" s="1397"/>
      <c r="AJ4" s="1397" t="s">
        <v>112</v>
      </c>
      <c r="AK4" s="1397"/>
      <c r="AL4" s="1397" t="s">
        <v>113</v>
      </c>
      <c r="AM4" s="1397"/>
      <c r="AN4" s="1397" t="s">
        <v>112</v>
      </c>
      <c r="AO4" s="1397"/>
      <c r="AP4" s="1397" t="s">
        <v>113</v>
      </c>
      <c r="AQ4" s="1397"/>
      <c r="AR4" s="1397" t="s">
        <v>112</v>
      </c>
      <c r="AS4" s="1397"/>
      <c r="AT4" s="1397" t="s">
        <v>113</v>
      </c>
      <c r="AU4" s="1397"/>
      <c r="AV4" s="1397" t="s">
        <v>4</v>
      </c>
      <c r="AW4" s="1397" t="s">
        <v>122</v>
      </c>
      <c r="AX4" s="1452" t="s">
        <v>5</v>
      </c>
      <c r="AY4" s="1416" t="s">
        <v>83</v>
      </c>
      <c r="AZ4" s="1422" t="s">
        <v>84</v>
      </c>
    </row>
    <row r="5" spans="1:52" ht="57.75" customHeight="1" thickBot="1">
      <c r="A5" s="1468"/>
      <c r="B5" s="1470"/>
      <c r="C5" s="1415"/>
      <c r="D5" s="25" t="s">
        <v>6</v>
      </c>
      <c r="E5" s="25" t="s">
        <v>7</v>
      </c>
      <c r="F5" s="25" t="s">
        <v>6</v>
      </c>
      <c r="G5" s="25" t="s">
        <v>96</v>
      </c>
      <c r="H5" s="25" t="s">
        <v>6</v>
      </c>
      <c r="I5" s="25" t="s">
        <v>7</v>
      </c>
      <c r="J5" s="25" t="s">
        <v>6</v>
      </c>
      <c r="K5" s="25" t="s">
        <v>96</v>
      </c>
      <c r="L5" s="25" t="s">
        <v>6</v>
      </c>
      <c r="M5" s="25" t="s">
        <v>7</v>
      </c>
      <c r="N5" s="25" t="s">
        <v>6</v>
      </c>
      <c r="O5" s="25" t="s">
        <v>96</v>
      </c>
      <c r="P5" s="25" t="s">
        <v>6</v>
      </c>
      <c r="Q5" s="25" t="s">
        <v>7</v>
      </c>
      <c r="R5" s="25" t="s">
        <v>6</v>
      </c>
      <c r="S5" s="25" t="s">
        <v>96</v>
      </c>
      <c r="T5" s="25" t="s">
        <v>6</v>
      </c>
      <c r="U5" s="25" t="s">
        <v>7</v>
      </c>
      <c r="V5" s="25" t="s">
        <v>6</v>
      </c>
      <c r="W5" s="25" t="s">
        <v>96</v>
      </c>
      <c r="X5" s="25" t="s">
        <v>6</v>
      </c>
      <c r="Y5" s="25" t="s">
        <v>7</v>
      </c>
      <c r="Z5" s="25" t="s">
        <v>6</v>
      </c>
      <c r="AA5" s="25" t="s">
        <v>96</v>
      </c>
      <c r="AB5" s="25" t="s">
        <v>6</v>
      </c>
      <c r="AC5" s="25" t="s">
        <v>7</v>
      </c>
      <c r="AD5" s="25" t="s">
        <v>6</v>
      </c>
      <c r="AE5" s="25" t="s">
        <v>96</v>
      </c>
      <c r="AF5" s="25" t="s">
        <v>6</v>
      </c>
      <c r="AG5" s="25" t="s">
        <v>7</v>
      </c>
      <c r="AH5" s="25" t="s">
        <v>6</v>
      </c>
      <c r="AI5" s="25" t="s">
        <v>96</v>
      </c>
      <c r="AJ5" s="25" t="s">
        <v>6</v>
      </c>
      <c r="AK5" s="25" t="s">
        <v>7</v>
      </c>
      <c r="AL5" s="25" t="s">
        <v>6</v>
      </c>
      <c r="AM5" s="25" t="s">
        <v>96</v>
      </c>
      <c r="AN5" s="25" t="s">
        <v>6</v>
      </c>
      <c r="AO5" s="25" t="s">
        <v>7</v>
      </c>
      <c r="AP5" s="25" t="s">
        <v>6</v>
      </c>
      <c r="AQ5" s="25" t="s">
        <v>96</v>
      </c>
      <c r="AR5" s="25" t="s">
        <v>6</v>
      </c>
      <c r="AS5" s="25" t="s">
        <v>7</v>
      </c>
      <c r="AT5" s="25" t="s">
        <v>6</v>
      </c>
      <c r="AU5" s="25" t="s">
        <v>96</v>
      </c>
      <c r="AV5" s="1118"/>
      <c r="AW5" s="1118"/>
      <c r="AX5" s="1453"/>
      <c r="AY5" s="1417"/>
      <c r="AZ5" s="1423"/>
    </row>
    <row r="6" spans="1:52" s="993" customFormat="1" ht="47.25">
      <c r="A6" s="390">
        <v>3.1</v>
      </c>
      <c r="B6" s="151" t="s">
        <v>799</v>
      </c>
      <c r="C6" s="145" t="s">
        <v>34</v>
      </c>
      <c r="D6" s="145"/>
      <c r="E6" s="145"/>
      <c r="F6" s="145"/>
      <c r="G6" s="145"/>
      <c r="H6" s="91">
        <v>0</v>
      </c>
      <c r="I6" s="91">
        <v>0</v>
      </c>
      <c r="J6" s="91">
        <v>4</v>
      </c>
      <c r="K6" s="129">
        <v>1.6</v>
      </c>
      <c r="L6" s="55">
        <v>0</v>
      </c>
      <c r="M6" s="55">
        <v>0</v>
      </c>
      <c r="N6" s="2" t="s">
        <v>610</v>
      </c>
      <c r="O6" s="55">
        <v>1.25</v>
      </c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2">
        <f>95*30</f>
        <v>2850</v>
      </c>
      <c r="AC6" s="992">
        <v>0</v>
      </c>
      <c r="AD6" s="2"/>
      <c r="AE6" s="2"/>
      <c r="AF6" s="145"/>
      <c r="AG6" s="145"/>
      <c r="AH6" s="145"/>
      <c r="AI6" s="145"/>
      <c r="AJ6" s="204">
        <v>650</v>
      </c>
      <c r="AK6" s="55" t="s">
        <v>1191</v>
      </c>
      <c r="AL6" s="204">
        <v>219</v>
      </c>
      <c r="AM6" s="204">
        <v>10.95</v>
      </c>
      <c r="AN6" s="145"/>
      <c r="AO6" s="145"/>
      <c r="AP6" s="145"/>
      <c r="AQ6" s="145"/>
      <c r="AR6" s="91"/>
      <c r="AS6" s="91"/>
      <c r="AT6" s="91"/>
      <c r="AU6" s="91">
        <v>13</v>
      </c>
      <c r="AV6" s="369" t="s">
        <v>35</v>
      </c>
      <c r="AW6" s="91">
        <v>30</v>
      </c>
      <c r="AX6" s="369" t="s">
        <v>469</v>
      </c>
      <c r="AY6" s="369" t="s">
        <v>470</v>
      </c>
      <c r="AZ6" s="396" t="s">
        <v>471</v>
      </c>
    </row>
    <row r="7" spans="1:52" s="993" customFormat="1" ht="15.75">
      <c r="A7" s="390">
        <v>3.2</v>
      </c>
      <c r="B7" s="394" t="s">
        <v>472</v>
      </c>
      <c r="C7" s="145" t="s">
        <v>34</v>
      </c>
      <c r="D7" s="994"/>
      <c r="E7" s="995"/>
      <c r="F7" s="878">
        <v>449</v>
      </c>
      <c r="G7" s="995">
        <v>22.44</v>
      </c>
      <c r="H7" s="91">
        <v>0</v>
      </c>
      <c r="I7" s="91">
        <v>27</v>
      </c>
      <c r="J7" s="91">
        <v>40</v>
      </c>
      <c r="K7" s="129">
        <v>0.6</v>
      </c>
      <c r="L7" s="55">
        <v>1121</v>
      </c>
      <c r="M7" s="55">
        <v>0</v>
      </c>
      <c r="N7" s="2" t="s">
        <v>610</v>
      </c>
      <c r="O7" s="55">
        <v>3.35</v>
      </c>
      <c r="P7" s="67">
        <v>849</v>
      </c>
      <c r="Q7" s="67">
        <v>0</v>
      </c>
      <c r="R7" s="91"/>
      <c r="S7" s="91"/>
      <c r="T7" s="145"/>
      <c r="U7" s="145"/>
      <c r="V7" s="145"/>
      <c r="W7" s="145"/>
      <c r="X7" s="369"/>
      <c r="Y7" s="369"/>
      <c r="Z7" s="369"/>
      <c r="AA7" s="369"/>
      <c r="AB7" s="2">
        <v>3088</v>
      </c>
      <c r="AC7" s="996">
        <v>0</v>
      </c>
      <c r="AD7" s="2">
        <f>490+2108</f>
        <v>2598</v>
      </c>
      <c r="AE7" s="2">
        <f>24.5+105.4</f>
        <v>129.9</v>
      </c>
      <c r="AF7" s="369"/>
      <c r="AG7" s="369"/>
      <c r="AH7" s="369"/>
      <c r="AI7" s="369"/>
      <c r="AJ7" s="369"/>
      <c r="AK7" s="369"/>
      <c r="AL7" s="369"/>
      <c r="AM7" s="369"/>
      <c r="AN7" s="994"/>
      <c r="AO7" s="995"/>
      <c r="AP7" s="878">
        <v>1378</v>
      </c>
      <c r="AQ7" s="995">
        <v>20.67</v>
      </c>
      <c r="AR7" s="91"/>
      <c r="AS7" s="91"/>
      <c r="AT7" s="91"/>
      <c r="AU7" s="91"/>
      <c r="AV7" s="369" t="s">
        <v>73</v>
      </c>
      <c r="AW7" s="91">
        <v>30</v>
      </c>
      <c r="AX7" s="369" t="s">
        <v>469</v>
      </c>
      <c r="AY7" s="369" t="s">
        <v>306</v>
      </c>
      <c r="AZ7" s="396" t="s">
        <v>471</v>
      </c>
    </row>
    <row r="8" spans="1:52" s="993" customFormat="1" ht="45">
      <c r="A8" s="390">
        <v>3.3</v>
      </c>
      <c r="B8" s="394" t="s">
        <v>473</v>
      </c>
      <c r="C8" s="145" t="s">
        <v>474</v>
      </c>
      <c r="D8" s="994"/>
      <c r="E8" s="994"/>
      <c r="F8" s="878">
        <v>53</v>
      </c>
      <c r="G8" s="995">
        <v>5.3</v>
      </c>
      <c r="H8" s="145"/>
      <c r="I8" s="145"/>
      <c r="J8" s="145"/>
      <c r="K8" s="145"/>
      <c r="L8" s="55">
        <v>122</v>
      </c>
      <c r="M8" s="55">
        <v>9</v>
      </c>
      <c r="N8" s="55">
        <v>475</v>
      </c>
      <c r="O8" s="55">
        <v>2.15</v>
      </c>
      <c r="P8" s="67">
        <v>146</v>
      </c>
      <c r="Q8" s="67">
        <v>0</v>
      </c>
      <c r="R8" s="91"/>
      <c r="S8" s="91"/>
      <c r="T8" s="145"/>
      <c r="U8" s="145"/>
      <c r="V8" s="145"/>
      <c r="W8" s="145"/>
      <c r="X8" s="369"/>
      <c r="Y8" s="369"/>
      <c r="Z8" s="369"/>
      <c r="AA8" s="369"/>
      <c r="AB8" s="642">
        <v>337</v>
      </c>
      <c r="AC8" s="2">
        <v>0</v>
      </c>
      <c r="AD8" s="2">
        <f>90+247</f>
        <v>337</v>
      </c>
      <c r="AE8" s="2">
        <f>9+24.7</f>
        <v>33.7</v>
      </c>
      <c r="AF8" s="369"/>
      <c r="AG8" s="369"/>
      <c r="AH8" s="369"/>
      <c r="AI8" s="369"/>
      <c r="AJ8" s="204">
        <v>230</v>
      </c>
      <c r="AK8" s="55" t="s">
        <v>1191</v>
      </c>
      <c r="AL8" s="204">
        <v>0</v>
      </c>
      <c r="AM8" s="204">
        <v>0</v>
      </c>
      <c r="AN8" s="994"/>
      <c r="AO8" s="994"/>
      <c r="AP8" s="878">
        <v>133</v>
      </c>
      <c r="AQ8" s="995">
        <v>13.3</v>
      </c>
      <c r="AR8" s="91"/>
      <c r="AS8" s="91"/>
      <c r="AT8" s="91">
        <v>80</v>
      </c>
      <c r="AU8" s="91">
        <v>8</v>
      </c>
      <c r="AV8" s="369" t="s">
        <v>35</v>
      </c>
      <c r="AW8" s="91">
        <v>30</v>
      </c>
      <c r="AX8" s="369" t="s">
        <v>475</v>
      </c>
      <c r="AY8" s="369" t="s">
        <v>306</v>
      </c>
      <c r="AZ8" s="396" t="s">
        <v>471</v>
      </c>
    </row>
    <row r="9" spans="1:52" s="993" customFormat="1" ht="45">
      <c r="A9" s="152">
        <v>3.4</v>
      </c>
      <c r="B9" s="152" t="s">
        <v>1451</v>
      </c>
      <c r="C9" s="55" t="s">
        <v>880</v>
      </c>
      <c r="D9" s="994"/>
      <c r="E9" s="994"/>
      <c r="F9" s="878"/>
      <c r="G9" s="995"/>
      <c r="H9" s="145"/>
      <c r="I9" s="145"/>
      <c r="J9" s="145"/>
      <c r="K9" s="145"/>
      <c r="L9" s="55"/>
      <c r="M9" s="55"/>
      <c r="N9" s="55"/>
      <c r="O9" s="55"/>
      <c r="P9" s="67"/>
      <c r="Q9" s="67"/>
      <c r="R9" s="91"/>
      <c r="S9" s="91"/>
      <c r="T9" s="145"/>
      <c r="U9" s="145"/>
      <c r="V9" s="145"/>
      <c r="W9" s="145"/>
      <c r="X9" s="369"/>
      <c r="Y9" s="369"/>
      <c r="Z9" s="369"/>
      <c r="AA9" s="369"/>
      <c r="AB9" s="642"/>
      <c r="AC9" s="2"/>
      <c r="AD9" s="2"/>
      <c r="AE9" s="2"/>
      <c r="AF9" s="369"/>
      <c r="AG9" s="369"/>
      <c r="AH9" s="369"/>
      <c r="AI9" s="369"/>
      <c r="AJ9" s="204">
        <v>60</v>
      </c>
      <c r="AK9" s="55" t="s">
        <v>1191</v>
      </c>
      <c r="AL9" s="204">
        <v>0</v>
      </c>
      <c r="AM9" s="204">
        <v>0</v>
      </c>
      <c r="AN9" s="369"/>
      <c r="AO9" s="369"/>
      <c r="AP9" s="369"/>
      <c r="AQ9" s="369"/>
      <c r="AR9" s="91"/>
      <c r="AS9" s="91"/>
      <c r="AT9" s="91"/>
      <c r="AU9" s="91"/>
      <c r="AV9" s="369"/>
      <c r="AW9" s="91">
        <v>30</v>
      </c>
      <c r="AX9" s="369"/>
      <c r="AY9" s="369"/>
      <c r="AZ9" s="396"/>
    </row>
    <row r="10" spans="1:52" s="993" customFormat="1" ht="45">
      <c r="A10" s="390">
        <v>3.5</v>
      </c>
      <c r="B10" s="394" t="s">
        <v>476</v>
      </c>
      <c r="C10" s="145" t="s">
        <v>477</v>
      </c>
      <c r="D10" s="878"/>
      <c r="E10" s="997"/>
      <c r="F10" s="878">
        <v>4162</v>
      </c>
      <c r="G10" s="997">
        <v>249.7</v>
      </c>
      <c r="H10" s="145"/>
      <c r="I10" s="145"/>
      <c r="J10" s="145"/>
      <c r="K10" s="145"/>
      <c r="L10" s="145"/>
      <c r="M10" s="145"/>
      <c r="N10" s="145"/>
      <c r="O10" s="145"/>
      <c r="P10" s="68"/>
      <c r="Q10" s="68"/>
      <c r="R10" s="68"/>
      <c r="S10" s="68"/>
      <c r="T10" s="145"/>
      <c r="U10" s="145"/>
      <c r="V10" s="145"/>
      <c r="W10" s="145"/>
      <c r="X10" s="369"/>
      <c r="Y10" s="369"/>
      <c r="Z10" s="369"/>
      <c r="AA10" s="369"/>
      <c r="AB10" s="2">
        <f>1450+3246</f>
        <v>4696</v>
      </c>
      <c r="AC10" s="2">
        <v>0</v>
      </c>
      <c r="AD10" s="2">
        <f>1450+6492</f>
        <v>7942</v>
      </c>
      <c r="AE10" s="2">
        <f>145+649.2</f>
        <v>794.2</v>
      </c>
      <c r="AF10" s="369"/>
      <c r="AG10" s="369"/>
      <c r="AH10" s="369"/>
      <c r="AI10" s="369"/>
      <c r="AJ10" s="204">
        <v>1000</v>
      </c>
      <c r="AK10" s="55" t="s">
        <v>1191</v>
      </c>
      <c r="AL10" s="204">
        <v>0</v>
      </c>
      <c r="AM10" s="204">
        <v>0</v>
      </c>
      <c r="AN10" s="369"/>
      <c r="AO10" s="369"/>
      <c r="AP10" s="369"/>
      <c r="AQ10" s="369"/>
      <c r="AR10" s="91"/>
      <c r="AS10" s="91"/>
      <c r="AT10" s="91">
        <v>1363</v>
      </c>
      <c r="AU10" s="91">
        <v>136</v>
      </c>
      <c r="AV10" s="369" t="s">
        <v>35</v>
      </c>
      <c r="AW10" s="91">
        <v>40</v>
      </c>
      <c r="AX10" s="369" t="s">
        <v>478</v>
      </c>
      <c r="AY10" s="369" t="s">
        <v>306</v>
      </c>
      <c r="AZ10" s="396" t="s">
        <v>471</v>
      </c>
    </row>
    <row r="11" spans="1:52" s="993" customFormat="1" ht="15.75">
      <c r="A11" s="173">
        <v>3.6</v>
      </c>
      <c r="B11" s="394" t="s">
        <v>803</v>
      </c>
      <c r="C11" s="145" t="s">
        <v>804</v>
      </c>
      <c r="D11" s="878"/>
      <c r="E11" s="997"/>
      <c r="F11" s="878">
        <v>1773</v>
      </c>
      <c r="G11" s="997">
        <v>106.4</v>
      </c>
      <c r="H11" s="145"/>
      <c r="I11" s="145"/>
      <c r="J11" s="145"/>
      <c r="K11" s="145"/>
      <c r="L11" s="55">
        <v>4742</v>
      </c>
      <c r="M11" s="55">
        <v>614</v>
      </c>
      <c r="N11" s="55">
        <v>450</v>
      </c>
      <c r="O11" s="55">
        <v>60.01</v>
      </c>
      <c r="P11" s="68"/>
      <c r="Q11" s="68"/>
      <c r="R11" s="68">
        <v>2493</v>
      </c>
      <c r="S11" s="68">
        <v>173.11</v>
      </c>
      <c r="T11" s="145"/>
      <c r="U11" s="145"/>
      <c r="V11" s="145"/>
      <c r="W11" s="145"/>
      <c r="X11" s="369"/>
      <c r="Y11" s="369"/>
      <c r="Z11" s="369"/>
      <c r="AA11" s="369"/>
      <c r="AB11" s="369"/>
      <c r="AC11" s="369"/>
      <c r="AD11" s="369"/>
      <c r="AE11" s="369"/>
      <c r="AF11" s="369"/>
      <c r="AG11" s="369"/>
      <c r="AH11" s="369"/>
      <c r="AI11" s="369"/>
      <c r="AJ11" s="369"/>
      <c r="AK11" s="369"/>
      <c r="AL11" s="369"/>
      <c r="AM11" s="369"/>
      <c r="AN11" s="369"/>
      <c r="AO11" s="369"/>
      <c r="AP11" s="369"/>
      <c r="AQ11" s="369"/>
      <c r="AR11" s="91"/>
      <c r="AS11" s="91"/>
      <c r="AT11" s="91">
        <v>683</v>
      </c>
      <c r="AU11" s="91">
        <v>20.5</v>
      </c>
      <c r="AV11" s="369" t="s">
        <v>805</v>
      </c>
      <c r="AW11" s="91">
        <v>30</v>
      </c>
      <c r="AX11" s="369" t="s">
        <v>311</v>
      </c>
      <c r="AY11" s="369" t="s">
        <v>306</v>
      </c>
      <c r="AZ11" s="396" t="s">
        <v>471</v>
      </c>
    </row>
    <row r="12" spans="1:52" s="993" customFormat="1" ht="30.75" thickBot="1">
      <c r="A12" s="390">
        <v>3.7</v>
      </c>
      <c r="B12" s="394" t="s">
        <v>499</v>
      </c>
      <c r="C12" s="145" t="s">
        <v>500</v>
      </c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67">
        <v>166</v>
      </c>
      <c r="Q12" s="67">
        <v>0</v>
      </c>
      <c r="R12" s="91"/>
      <c r="S12" s="91"/>
      <c r="T12" s="145"/>
      <c r="U12" s="145"/>
      <c r="V12" s="145"/>
      <c r="W12" s="145"/>
      <c r="X12" s="369"/>
      <c r="Y12" s="369"/>
      <c r="Z12" s="369"/>
      <c r="AA12" s="369"/>
      <c r="AB12" s="369"/>
      <c r="AC12" s="369"/>
      <c r="AD12" s="369"/>
      <c r="AE12" s="369"/>
      <c r="AF12" s="369"/>
      <c r="AG12" s="369"/>
      <c r="AH12" s="369"/>
      <c r="AI12" s="369"/>
      <c r="AJ12" s="369"/>
      <c r="AK12" s="369"/>
      <c r="AL12" s="369"/>
      <c r="AM12" s="369"/>
      <c r="AN12" s="369"/>
      <c r="AO12" s="369"/>
      <c r="AP12" s="369"/>
      <c r="AQ12" s="369"/>
      <c r="AR12" s="91"/>
      <c r="AS12" s="91"/>
      <c r="AT12" s="91"/>
      <c r="AU12" s="91"/>
      <c r="AV12" s="369" t="s">
        <v>35</v>
      </c>
      <c r="AW12" s="91">
        <v>20</v>
      </c>
      <c r="AX12" s="369" t="s">
        <v>478</v>
      </c>
      <c r="AY12" s="369" t="s">
        <v>306</v>
      </c>
      <c r="AZ12" s="396" t="s">
        <v>480</v>
      </c>
    </row>
    <row r="13" spans="1:52" s="377" customFormat="1" ht="30.75" hidden="1" thickBot="1">
      <c r="A13" s="998" t="s">
        <v>481</v>
      </c>
      <c r="B13" s="999" t="s">
        <v>482</v>
      </c>
      <c r="C13" s="145" t="s">
        <v>483</v>
      </c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374"/>
      <c r="Y13" s="374"/>
      <c r="Z13" s="374"/>
      <c r="AA13" s="374"/>
      <c r="AB13" s="374"/>
      <c r="AC13" s="374"/>
      <c r="AD13" s="374"/>
      <c r="AE13" s="374"/>
      <c r="AF13" s="374"/>
      <c r="AG13" s="374"/>
      <c r="AH13" s="374"/>
      <c r="AI13" s="374"/>
      <c r="AJ13" s="374"/>
      <c r="AK13" s="374"/>
      <c r="AL13" s="374"/>
      <c r="AM13" s="374"/>
      <c r="AN13" s="374"/>
      <c r="AO13" s="374"/>
      <c r="AP13" s="374"/>
      <c r="AQ13" s="374"/>
      <c r="AR13" s="376"/>
      <c r="AS13" s="376"/>
      <c r="AT13" s="376"/>
      <c r="AU13" s="376"/>
      <c r="AV13" s="375" t="s">
        <v>35</v>
      </c>
      <c r="AW13" s="371" t="s">
        <v>484</v>
      </c>
      <c r="AX13" s="375" t="s">
        <v>485</v>
      </c>
      <c r="AY13" s="375" t="s">
        <v>470</v>
      </c>
      <c r="AZ13" s="397" t="s">
        <v>486</v>
      </c>
    </row>
    <row r="14" spans="1:52" s="377" customFormat="1" ht="30.75" hidden="1" thickBot="1">
      <c r="A14" s="998">
        <v>3.1</v>
      </c>
      <c r="B14" s="999" t="s">
        <v>487</v>
      </c>
      <c r="C14" s="145" t="s">
        <v>488</v>
      </c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374"/>
      <c r="Y14" s="374"/>
      <c r="Z14" s="374"/>
      <c r="AA14" s="374"/>
      <c r="AB14" s="374"/>
      <c r="AC14" s="374"/>
      <c r="AD14" s="374"/>
      <c r="AE14" s="374"/>
      <c r="AF14" s="374"/>
      <c r="AG14" s="374"/>
      <c r="AH14" s="374"/>
      <c r="AI14" s="374"/>
      <c r="AJ14" s="374"/>
      <c r="AK14" s="374"/>
      <c r="AL14" s="374"/>
      <c r="AM14" s="374"/>
      <c r="AN14" s="374"/>
      <c r="AO14" s="374"/>
      <c r="AP14" s="374"/>
      <c r="AQ14" s="374"/>
      <c r="AR14" s="376"/>
      <c r="AS14" s="376"/>
      <c r="AT14" s="376"/>
      <c r="AU14" s="376"/>
      <c r="AV14" s="375" t="s">
        <v>35</v>
      </c>
      <c r="AW14" s="371" t="s">
        <v>489</v>
      </c>
      <c r="AX14" s="375" t="s">
        <v>490</v>
      </c>
      <c r="AY14" s="375" t="s">
        <v>491</v>
      </c>
      <c r="AZ14" s="397" t="s">
        <v>492</v>
      </c>
    </row>
    <row r="15" spans="1:52" s="377" customFormat="1" ht="30.75" hidden="1" thickBot="1">
      <c r="A15" s="998">
        <v>3.6</v>
      </c>
      <c r="B15" s="999" t="s">
        <v>493</v>
      </c>
      <c r="C15" s="145" t="s">
        <v>494</v>
      </c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374"/>
      <c r="Y15" s="374"/>
      <c r="Z15" s="374"/>
      <c r="AA15" s="374"/>
      <c r="AB15" s="374"/>
      <c r="AC15" s="374"/>
      <c r="AD15" s="374"/>
      <c r="AE15" s="374"/>
      <c r="AF15" s="374"/>
      <c r="AG15" s="374"/>
      <c r="AH15" s="374"/>
      <c r="AI15" s="374"/>
      <c r="AJ15" s="374"/>
      <c r="AK15" s="374"/>
      <c r="AL15" s="374"/>
      <c r="AM15" s="374"/>
      <c r="AN15" s="374"/>
      <c r="AO15" s="374"/>
      <c r="AP15" s="374"/>
      <c r="AQ15" s="374"/>
      <c r="AR15" s="376"/>
      <c r="AS15" s="376"/>
      <c r="AT15" s="376"/>
      <c r="AU15" s="376"/>
      <c r="AV15" s="375" t="s">
        <v>35</v>
      </c>
      <c r="AW15" s="371" t="s">
        <v>495</v>
      </c>
      <c r="AX15" s="375" t="s">
        <v>490</v>
      </c>
      <c r="AY15" s="375" t="s">
        <v>491</v>
      </c>
      <c r="AZ15" s="397" t="s">
        <v>492</v>
      </c>
    </row>
    <row r="16" spans="1:52" s="377" customFormat="1" ht="45.75" hidden="1" thickBot="1">
      <c r="A16" s="998">
        <v>3.5</v>
      </c>
      <c r="B16" s="999" t="s">
        <v>496</v>
      </c>
      <c r="C16" s="145" t="s">
        <v>497</v>
      </c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378"/>
      <c r="Y16" s="378"/>
      <c r="Z16" s="378"/>
      <c r="AA16" s="378"/>
      <c r="AB16" s="378"/>
      <c r="AC16" s="378"/>
      <c r="AD16" s="378"/>
      <c r="AE16" s="378"/>
      <c r="AF16" s="378"/>
      <c r="AG16" s="378"/>
      <c r="AH16" s="378"/>
      <c r="AI16" s="378"/>
      <c r="AJ16" s="378"/>
      <c r="AK16" s="378"/>
      <c r="AL16" s="378"/>
      <c r="AM16" s="378"/>
      <c r="AN16" s="378"/>
      <c r="AO16" s="378"/>
      <c r="AP16" s="378"/>
      <c r="AQ16" s="378"/>
      <c r="AR16" s="376"/>
      <c r="AS16" s="376"/>
      <c r="AT16" s="376"/>
      <c r="AU16" s="376"/>
      <c r="AV16" s="375" t="s">
        <v>35</v>
      </c>
      <c r="AW16" s="371" t="s">
        <v>498</v>
      </c>
      <c r="AX16" s="375" t="s">
        <v>490</v>
      </c>
      <c r="AY16" s="375" t="s">
        <v>491</v>
      </c>
      <c r="AZ16" s="397" t="s">
        <v>492</v>
      </c>
    </row>
    <row r="17" spans="1:52" ht="23.25" customHeight="1" thickBot="1">
      <c r="A17" s="1000"/>
      <c r="B17" s="1001" t="s">
        <v>17</v>
      </c>
      <c r="C17" s="385"/>
      <c r="D17" s="385">
        <f>SUM(D6:D12)</f>
        <v>0</v>
      </c>
      <c r="E17" s="385">
        <f aca="true" t="shared" si="0" ref="E17:AU17">SUM(E6:E12)</f>
        <v>0</v>
      </c>
      <c r="F17" s="385">
        <f t="shared" si="0"/>
        <v>6437</v>
      </c>
      <c r="G17" s="385">
        <f t="shared" si="0"/>
        <v>383.84000000000003</v>
      </c>
      <c r="H17" s="385">
        <f t="shared" si="0"/>
        <v>0</v>
      </c>
      <c r="I17" s="385">
        <f t="shared" si="0"/>
        <v>27</v>
      </c>
      <c r="J17" s="385">
        <f t="shared" si="0"/>
        <v>44</v>
      </c>
      <c r="K17" s="385">
        <f t="shared" si="0"/>
        <v>2.2</v>
      </c>
      <c r="L17" s="385">
        <f t="shared" si="0"/>
        <v>5985</v>
      </c>
      <c r="M17" s="385">
        <f t="shared" si="0"/>
        <v>623</v>
      </c>
      <c r="N17" s="385">
        <f t="shared" si="0"/>
        <v>925</v>
      </c>
      <c r="O17" s="385">
        <f t="shared" si="0"/>
        <v>66.75999999999999</v>
      </c>
      <c r="P17" s="385">
        <f t="shared" si="0"/>
        <v>1161</v>
      </c>
      <c r="Q17" s="385">
        <f t="shared" si="0"/>
        <v>0</v>
      </c>
      <c r="R17" s="385">
        <f t="shared" si="0"/>
        <v>2493</v>
      </c>
      <c r="S17" s="385">
        <f t="shared" si="0"/>
        <v>173.11</v>
      </c>
      <c r="T17" s="385">
        <f t="shared" si="0"/>
        <v>0</v>
      </c>
      <c r="U17" s="385">
        <f t="shared" si="0"/>
        <v>0</v>
      </c>
      <c r="V17" s="385">
        <f t="shared" si="0"/>
        <v>0</v>
      </c>
      <c r="W17" s="385">
        <f t="shared" si="0"/>
        <v>0</v>
      </c>
      <c r="X17" s="385">
        <f t="shared" si="0"/>
        <v>0</v>
      </c>
      <c r="Y17" s="385">
        <f t="shared" si="0"/>
        <v>0</v>
      </c>
      <c r="Z17" s="385">
        <f t="shared" si="0"/>
        <v>0</v>
      </c>
      <c r="AA17" s="385">
        <f t="shared" si="0"/>
        <v>0</v>
      </c>
      <c r="AB17" s="385">
        <f t="shared" si="0"/>
        <v>10971</v>
      </c>
      <c r="AC17" s="385">
        <f t="shared" si="0"/>
        <v>0</v>
      </c>
      <c r="AD17" s="385">
        <f t="shared" si="0"/>
        <v>10877</v>
      </c>
      <c r="AE17" s="385">
        <f t="shared" si="0"/>
        <v>957.8000000000001</v>
      </c>
      <c r="AF17" s="385">
        <f t="shared" si="0"/>
        <v>0</v>
      </c>
      <c r="AG17" s="385">
        <f t="shared" si="0"/>
        <v>0</v>
      </c>
      <c r="AH17" s="385">
        <f t="shared" si="0"/>
        <v>0</v>
      </c>
      <c r="AI17" s="385">
        <f t="shared" si="0"/>
        <v>0</v>
      </c>
      <c r="AJ17" s="385">
        <f t="shared" si="0"/>
        <v>1940</v>
      </c>
      <c r="AK17" s="385">
        <f t="shared" si="0"/>
        <v>0</v>
      </c>
      <c r="AL17" s="385">
        <f t="shared" si="0"/>
        <v>219</v>
      </c>
      <c r="AM17" s="385">
        <f t="shared" si="0"/>
        <v>10.95</v>
      </c>
      <c r="AN17" s="385">
        <f t="shared" si="0"/>
        <v>0</v>
      </c>
      <c r="AO17" s="385">
        <f t="shared" si="0"/>
        <v>0</v>
      </c>
      <c r="AP17" s="385">
        <f t="shared" si="0"/>
        <v>1511</v>
      </c>
      <c r="AQ17" s="385">
        <f t="shared" si="0"/>
        <v>33.97</v>
      </c>
      <c r="AR17" s="385">
        <f t="shared" si="0"/>
        <v>0</v>
      </c>
      <c r="AS17" s="385">
        <f t="shared" si="0"/>
        <v>0</v>
      </c>
      <c r="AT17" s="385">
        <f t="shared" si="0"/>
        <v>2126</v>
      </c>
      <c r="AU17" s="385">
        <f t="shared" si="0"/>
        <v>177.5</v>
      </c>
      <c r="AV17" s="386"/>
      <c r="AW17" s="386"/>
      <c r="AX17" s="386"/>
      <c r="AY17" s="387"/>
      <c r="AZ17" s="399"/>
    </row>
    <row r="18" ht="21.75" customHeight="1">
      <c r="AV18" s="388"/>
    </row>
    <row r="19" ht="21.75" customHeight="1">
      <c r="AV19" s="388"/>
    </row>
    <row r="20" ht="21.75" customHeight="1">
      <c r="AV20" s="388"/>
    </row>
    <row r="21" ht="21.75" customHeight="1">
      <c r="AV21" s="389"/>
    </row>
    <row r="22" ht="21.75" customHeight="1">
      <c r="AV22" s="388"/>
    </row>
    <row r="23" ht="21.75" customHeight="1">
      <c r="AV23" s="352"/>
    </row>
  </sheetData>
  <sheetProtection/>
  <mergeCells count="45">
    <mergeCell ref="AZ4:AZ5"/>
    <mergeCell ref="AR4:AS4"/>
    <mergeCell ref="AT4:AU4"/>
    <mergeCell ref="AV4:AV5"/>
    <mergeCell ref="AW4:AW5"/>
    <mergeCell ref="AX4:AX5"/>
    <mergeCell ref="AY4:AY5"/>
    <mergeCell ref="AF4:AG4"/>
    <mergeCell ref="AH4:AI4"/>
    <mergeCell ref="AJ4:AK4"/>
    <mergeCell ref="AL4:AM4"/>
    <mergeCell ref="AN4:AO4"/>
    <mergeCell ref="AP4:AQ4"/>
    <mergeCell ref="T4:U4"/>
    <mergeCell ref="V4:W4"/>
    <mergeCell ref="X4:Y4"/>
    <mergeCell ref="Z4:AA4"/>
    <mergeCell ref="AB4:AC4"/>
    <mergeCell ref="AD4:AE4"/>
    <mergeCell ref="H4:I4"/>
    <mergeCell ref="J4:K4"/>
    <mergeCell ref="L4:M4"/>
    <mergeCell ref="N4:O4"/>
    <mergeCell ref="P4:Q4"/>
    <mergeCell ref="R4:S4"/>
    <mergeCell ref="AF3:AI3"/>
    <mergeCell ref="AJ3:AM3"/>
    <mergeCell ref="AN3:AQ3"/>
    <mergeCell ref="AR3:AU3"/>
    <mergeCell ref="AV3:AY3"/>
    <mergeCell ref="A4:A5"/>
    <mergeCell ref="B4:B5"/>
    <mergeCell ref="C4:C5"/>
    <mergeCell ref="D4:E4"/>
    <mergeCell ref="F4:G4"/>
    <mergeCell ref="A1:AZ1"/>
    <mergeCell ref="A2:AZ2"/>
    <mergeCell ref="A3:C3"/>
    <mergeCell ref="D3:G3"/>
    <mergeCell ref="H3:K3"/>
    <mergeCell ref="L3:O3"/>
    <mergeCell ref="P3:S3"/>
    <mergeCell ref="T3:W3"/>
    <mergeCell ref="X3:AA3"/>
    <mergeCell ref="AB3:AE3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N23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15.7109375" defaultRowHeight="21.75" customHeight="1"/>
  <cols>
    <col min="1" max="1" width="12.00390625" style="598" customWidth="1"/>
    <col min="2" max="2" width="24.421875" style="598" customWidth="1"/>
    <col min="3" max="3" width="22.8515625" style="598" customWidth="1"/>
    <col min="4" max="24" width="6.57421875" style="598" customWidth="1"/>
    <col min="25" max="25" width="6.7109375" style="598" customWidth="1"/>
    <col min="26" max="26" width="6.57421875" style="598" customWidth="1"/>
    <col min="27" max="31" width="6.421875" style="598" customWidth="1"/>
    <col min="32" max="35" width="7.140625" style="598" customWidth="1"/>
    <col min="36" max="36" width="12.28125" style="598" customWidth="1"/>
    <col min="37" max="37" width="23.140625" style="598" customWidth="1"/>
    <col min="38" max="38" width="12.00390625" style="598" customWidth="1"/>
    <col min="39" max="40" width="15.140625" style="598" customWidth="1"/>
    <col min="41" max="16384" width="15.7109375" style="598" customWidth="1"/>
  </cols>
  <sheetData>
    <row r="1" spans="1:40" ht="16.5" thickBot="1">
      <c r="A1" s="1464" t="s">
        <v>267</v>
      </c>
      <c r="B1" s="1465"/>
      <c r="C1" s="1465"/>
      <c r="D1" s="1465"/>
      <c r="E1" s="1465"/>
      <c r="F1" s="1465"/>
      <c r="G1" s="1465"/>
      <c r="H1" s="1465"/>
      <c r="I1" s="1465"/>
      <c r="J1" s="1465"/>
      <c r="K1" s="1465"/>
      <c r="L1" s="1465"/>
      <c r="M1" s="1465"/>
      <c r="N1" s="1465"/>
      <c r="O1" s="1465"/>
      <c r="P1" s="1465"/>
      <c r="Q1" s="1465"/>
      <c r="R1" s="1465"/>
      <c r="S1" s="1465"/>
      <c r="T1" s="1465"/>
      <c r="U1" s="1465"/>
      <c r="V1" s="1465"/>
      <c r="W1" s="1465"/>
      <c r="X1" s="1465"/>
      <c r="Y1" s="1465"/>
      <c r="Z1" s="1465"/>
      <c r="AA1" s="1465"/>
      <c r="AB1" s="1465"/>
      <c r="AC1" s="1465"/>
      <c r="AD1" s="1465"/>
      <c r="AE1" s="1465"/>
      <c r="AF1" s="1465"/>
      <c r="AG1" s="1465"/>
      <c r="AH1" s="1465"/>
      <c r="AI1" s="1465"/>
      <c r="AJ1" s="1465"/>
      <c r="AK1" s="1465"/>
      <c r="AL1" s="1465"/>
      <c r="AM1" s="1465"/>
      <c r="AN1" s="1466"/>
    </row>
    <row r="2" spans="1:40" ht="16.5" thickBot="1">
      <c r="A2" s="1297" t="s">
        <v>550</v>
      </c>
      <c r="B2" s="1298"/>
      <c r="C2" s="1298"/>
      <c r="D2" s="1298"/>
      <c r="E2" s="1298"/>
      <c r="F2" s="1298"/>
      <c r="G2" s="1298"/>
      <c r="H2" s="1298"/>
      <c r="I2" s="1298"/>
      <c r="J2" s="1298"/>
      <c r="K2" s="1298"/>
      <c r="L2" s="1298"/>
      <c r="M2" s="1298"/>
      <c r="N2" s="1298"/>
      <c r="O2" s="1298"/>
      <c r="P2" s="1298"/>
      <c r="Q2" s="1298"/>
      <c r="R2" s="1298"/>
      <c r="S2" s="1298"/>
      <c r="T2" s="1298"/>
      <c r="U2" s="1298"/>
      <c r="V2" s="1298"/>
      <c r="W2" s="1298"/>
      <c r="X2" s="1298"/>
      <c r="Y2" s="1298"/>
      <c r="Z2" s="1298"/>
      <c r="AA2" s="1298"/>
      <c r="AB2" s="1298"/>
      <c r="AC2" s="1298"/>
      <c r="AD2" s="1298"/>
      <c r="AE2" s="1298"/>
      <c r="AF2" s="1298"/>
      <c r="AG2" s="1298"/>
      <c r="AH2" s="1298"/>
      <c r="AI2" s="1298"/>
      <c r="AJ2" s="1298"/>
      <c r="AK2" s="1298"/>
      <c r="AL2" s="1298"/>
      <c r="AM2" s="1298"/>
      <c r="AN2" s="1299"/>
    </row>
    <row r="3" spans="1:40" ht="16.5" thickBot="1">
      <c r="A3" s="1293"/>
      <c r="B3" s="1141"/>
      <c r="C3" s="1142"/>
      <c r="D3" s="1140" t="s">
        <v>1073</v>
      </c>
      <c r="E3" s="1141"/>
      <c r="F3" s="1141"/>
      <c r="G3" s="1142"/>
      <c r="H3" s="1140" t="s">
        <v>1074</v>
      </c>
      <c r="I3" s="1141"/>
      <c r="J3" s="1141"/>
      <c r="K3" s="1142"/>
      <c r="L3" s="1140" t="s">
        <v>1075</v>
      </c>
      <c r="M3" s="1141"/>
      <c r="N3" s="1141"/>
      <c r="O3" s="1142"/>
      <c r="P3" s="1140" t="s">
        <v>1076</v>
      </c>
      <c r="Q3" s="1141"/>
      <c r="R3" s="1141"/>
      <c r="S3" s="1142"/>
      <c r="T3" s="1140" t="s">
        <v>1077</v>
      </c>
      <c r="U3" s="1141"/>
      <c r="V3" s="1141"/>
      <c r="W3" s="1142"/>
      <c r="X3" s="1140" t="s">
        <v>1074</v>
      </c>
      <c r="Y3" s="1141"/>
      <c r="Z3" s="1141"/>
      <c r="AA3" s="1142"/>
      <c r="AB3" s="1140" t="s">
        <v>1078</v>
      </c>
      <c r="AC3" s="1141"/>
      <c r="AD3" s="1141"/>
      <c r="AE3" s="1142"/>
      <c r="AF3" s="1140" t="s">
        <v>1079</v>
      </c>
      <c r="AG3" s="1141"/>
      <c r="AH3" s="1141"/>
      <c r="AI3" s="1142"/>
      <c r="AJ3" s="1140"/>
      <c r="AK3" s="1141"/>
      <c r="AL3" s="1141"/>
      <c r="AM3" s="1141"/>
      <c r="AN3" s="1294"/>
    </row>
    <row r="4" spans="1:40" ht="21.75" customHeight="1">
      <c r="A4" s="1413" t="s">
        <v>265</v>
      </c>
      <c r="B4" s="1414" t="s">
        <v>2</v>
      </c>
      <c r="C4" s="1414" t="s">
        <v>3</v>
      </c>
      <c r="D4" s="1397" t="s">
        <v>112</v>
      </c>
      <c r="E4" s="1397"/>
      <c r="F4" s="1397" t="s">
        <v>113</v>
      </c>
      <c r="G4" s="1397"/>
      <c r="H4" s="1397" t="s">
        <v>112</v>
      </c>
      <c r="I4" s="1397"/>
      <c r="J4" s="1397" t="s">
        <v>113</v>
      </c>
      <c r="K4" s="1397"/>
      <c r="L4" s="1397" t="s">
        <v>112</v>
      </c>
      <c r="M4" s="1397"/>
      <c r="N4" s="1397" t="s">
        <v>113</v>
      </c>
      <c r="O4" s="1397"/>
      <c r="P4" s="1397" t="s">
        <v>112</v>
      </c>
      <c r="Q4" s="1397"/>
      <c r="R4" s="1397" t="s">
        <v>113</v>
      </c>
      <c r="S4" s="1397"/>
      <c r="T4" s="1397" t="s">
        <v>112</v>
      </c>
      <c r="U4" s="1397"/>
      <c r="V4" s="1397" t="s">
        <v>113</v>
      </c>
      <c r="W4" s="1397"/>
      <c r="X4" s="1397" t="s">
        <v>112</v>
      </c>
      <c r="Y4" s="1397"/>
      <c r="Z4" s="1397" t="s">
        <v>113</v>
      </c>
      <c r="AA4" s="1397"/>
      <c r="AB4" s="1397" t="s">
        <v>112</v>
      </c>
      <c r="AC4" s="1397"/>
      <c r="AD4" s="1397" t="s">
        <v>113</v>
      </c>
      <c r="AE4" s="1397"/>
      <c r="AF4" s="1397" t="s">
        <v>112</v>
      </c>
      <c r="AG4" s="1397"/>
      <c r="AH4" s="1397" t="s">
        <v>113</v>
      </c>
      <c r="AI4" s="1397"/>
      <c r="AJ4" s="1397" t="s">
        <v>4</v>
      </c>
      <c r="AK4" s="1397" t="s">
        <v>855</v>
      </c>
      <c r="AL4" s="1452" t="s">
        <v>5</v>
      </c>
      <c r="AM4" s="1416" t="s">
        <v>83</v>
      </c>
      <c r="AN4" s="1422" t="s">
        <v>84</v>
      </c>
    </row>
    <row r="5" spans="1:40" ht="57.75" customHeight="1" thickBot="1">
      <c r="A5" s="1272"/>
      <c r="B5" s="1415"/>
      <c r="C5" s="1415"/>
      <c r="D5" s="25" t="s">
        <v>6</v>
      </c>
      <c r="E5" s="25" t="s">
        <v>7</v>
      </c>
      <c r="F5" s="25" t="s">
        <v>6</v>
      </c>
      <c r="G5" s="25" t="s">
        <v>96</v>
      </c>
      <c r="H5" s="25" t="s">
        <v>6</v>
      </c>
      <c r="I5" s="25" t="s">
        <v>7</v>
      </c>
      <c r="J5" s="25" t="s">
        <v>6</v>
      </c>
      <c r="K5" s="25" t="s">
        <v>96</v>
      </c>
      <c r="L5" s="25" t="s">
        <v>6</v>
      </c>
      <c r="M5" s="25" t="s">
        <v>7</v>
      </c>
      <c r="N5" s="25" t="s">
        <v>6</v>
      </c>
      <c r="O5" s="25" t="s">
        <v>96</v>
      </c>
      <c r="P5" s="25" t="s">
        <v>6</v>
      </c>
      <c r="Q5" s="25" t="s">
        <v>7</v>
      </c>
      <c r="R5" s="25" t="s">
        <v>6</v>
      </c>
      <c r="S5" s="25" t="s">
        <v>96</v>
      </c>
      <c r="T5" s="25" t="s">
        <v>6</v>
      </c>
      <c r="U5" s="25" t="s">
        <v>7</v>
      </c>
      <c r="V5" s="25" t="s">
        <v>6</v>
      </c>
      <c r="W5" s="25" t="s">
        <v>96</v>
      </c>
      <c r="X5" s="25" t="s">
        <v>6</v>
      </c>
      <c r="Y5" s="25" t="s">
        <v>7</v>
      </c>
      <c r="Z5" s="25" t="s">
        <v>6</v>
      </c>
      <c r="AA5" s="25" t="s">
        <v>96</v>
      </c>
      <c r="AB5" s="25" t="s">
        <v>6</v>
      </c>
      <c r="AC5" s="25" t="s">
        <v>7</v>
      </c>
      <c r="AD5" s="25" t="s">
        <v>6</v>
      </c>
      <c r="AE5" s="25" t="s">
        <v>96</v>
      </c>
      <c r="AF5" s="25" t="s">
        <v>6</v>
      </c>
      <c r="AG5" s="25" t="s">
        <v>7</v>
      </c>
      <c r="AH5" s="25" t="s">
        <v>6</v>
      </c>
      <c r="AI5" s="25" t="s">
        <v>96</v>
      </c>
      <c r="AJ5" s="1118"/>
      <c r="AK5" s="1118"/>
      <c r="AL5" s="1453"/>
      <c r="AM5" s="1417"/>
      <c r="AN5" s="1423"/>
    </row>
    <row r="6" spans="1:40" s="1010" customFormat="1" ht="30">
      <c r="A6" s="68">
        <v>3.1</v>
      </c>
      <c r="B6" s="1003" t="s">
        <v>799</v>
      </c>
      <c r="C6" s="145" t="s">
        <v>34</v>
      </c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68">
        <v>1</v>
      </c>
      <c r="O6" s="68">
        <v>0.5</v>
      </c>
      <c r="P6" s="68"/>
      <c r="Q6" s="68"/>
      <c r="R6" s="68"/>
      <c r="S6" s="68"/>
      <c r="T6" s="68"/>
      <c r="U6" s="68"/>
      <c r="V6" s="68"/>
      <c r="W6" s="68"/>
      <c r="X6" s="145"/>
      <c r="Y6" s="145"/>
      <c r="Z6" s="145"/>
      <c r="AA6" s="145"/>
      <c r="AB6" s="630">
        <v>1</v>
      </c>
      <c r="AC6" s="145">
        <v>0</v>
      </c>
      <c r="AD6" s="145"/>
      <c r="AE6" s="145"/>
      <c r="AF6" s="1004">
        <v>2</v>
      </c>
      <c r="AG6" s="1004">
        <v>0</v>
      </c>
      <c r="AH6" s="1004">
        <v>4</v>
      </c>
      <c r="AI6" s="1005">
        <v>2</v>
      </c>
      <c r="AJ6" s="1008" t="s">
        <v>35</v>
      </c>
      <c r="AK6" s="630" t="s">
        <v>862</v>
      </c>
      <c r="AL6" s="1008" t="s">
        <v>1086</v>
      </c>
      <c r="AM6" s="1008" t="s">
        <v>470</v>
      </c>
      <c r="AN6" s="1009" t="s">
        <v>471</v>
      </c>
    </row>
    <row r="7" spans="1:40" s="1010" customFormat="1" ht="15.75">
      <c r="A7" s="1011">
        <v>3.2</v>
      </c>
      <c r="B7" s="1012" t="s">
        <v>472</v>
      </c>
      <c r="C7" s="145" t="s">
        <v>34</v>
      </c>
      <c r="D7" s="145"/>
      <c r="E7" s="145"/>
      <c r="F7" s="145"/>
      <c r="G7" s="145"/>
      <c r="H7" s="613"/>
      <c r="I7" s="613"/>
      <c r="J7" s="613">
        <v>42</v>
      </c>
      <c r="K7" s="613">
        <v>1.8</v>
      </c>
      <c r="L7" s="145">
        <v>18</v>
      </c>
      <c r="M7" s="145">
        <v>0</v>
      </c>
      <c r="N7" s="68">
        <v>3</v>
      </c>
      <c r="O7" s="68">
        <v>0.15</v>
      </c>
      <c r="P7" s="68"/>
      <c r="Q7" s="68"/>
      <c r="R7" s="68"/>
      <c r="S7" s="68"/>
      <c r="T7" s="68"/>
      <c r="U7" s="68"/>
      <c r="V7" s="68"/>
      <c r="W7" s="68"/>
      <c r="X7" s="1012"/>
      <c r="Y7" s="1012"/>
      <c r="Z7" s="1012"/>
      <c r="AA7" s="1012"/>
      <c r="AB7" s="630">
        <v>10</v>
      </c>
      <c r="AC7" s="145">
        <v>0</v>
      </c>
      <c r="AD7" s="1012"/>
      <c r="AE7" s="1012"/>
      <c r="AF7" s="1004">
        <v>2</v>
      </c>
      <c r="AG7" s="1004">
        <v>0</v>
      </c>
      <c r="AH7" s="1004">
        <v>48</v>
      </c>
      <c r="AI7" s="1005">
        <v>0.8</v>
      </c>
      <c r="AJ7" s="1008" t="s">
        <v>73</v>
      </c>
      <c r="AK7" s="630" t="s">
        <v>862</v>
      </c>
      <c r="AL7" s="1008" t="s">
        <v>1086</v>
      </c>
      <c r="AM7" s="1008" t="s">
        <v>306</v>
      </c>
      <c r="AN7" s="1009" t="s">
        <v>471</v>
      </c>
    </row>
    <row r="8" spans="1:40" s="1010" customFormat="1" ht="15.75">
      <c r="A8" s="1011">
        <v>3.3</v>
      </c>
      <c r="B8" s="1012" t="s">
        <v>473</v>
      </c>
      <c r="C8" s="145" t="s">
        <v>474</v>
      </c>
      <c r="D8" s="145"/>
      <c r="E8" s="145"/>
      <c r="F8" s="145"/>
      <c r="G8" s="145"/>
      <c r="H8" s="1013"/>
      <c r="I8" s="1013"/>
      <c r="J8" s="1013">
        <v>6</v>
      </c>
      <c r="K8" s="1013">
        <v>0.6</v>
      </c>
      <c r="L8" s="145"/>
      <c r="M8" s="145"/>
      <c r="N8" s="68">
        <v>1</v>
      </c>
      <c r="O8" s="68">
        <v>0.1</v>
      </c>
      <c r="P8" s="68"/>
      <c r="Q8" s="68"/>
      <c r="R8" s="68"/>
      <c r="S8" s="68"/>
      <c r="T8" s="68"/>
      <c r="U8" s="68"/>
      <c r="V8" s="68"/>
      <c r="W8" s="68"/>
      <c r="X8" s="1012"/>
      <c r="Y8" s="1012"/>
      <c r="Z8" s="1012"/>
      <c r="AA8" s="1012"/>
      <c r="AB8" s="630"/>
      <c r="AC8" s="145"/>
      <c r="AD8" s="1012"/>
      <c r="AE8" s="1012"/>
      <c r="AF8" s="1004">
        <v>2</v>
      </c>
      <c r="AG8" s="1004">
        <v>0</v>
      </c>
      <c r="AH8" s="1004">
        <v>21</v>
      </c>
      <c r="AI8" s="1005">
        <v>0.7</v>
      </c>
      <c r="AJ8" s="1008" t="s">
        <v>35</v>
      </c>
      <c r="AK8" s="630" t="s">
        <v>862</v>
      </c>
      <c r="AL8" s="1008" t="s">
        <v>1086</v>
      </c>
      <c r="AM8" s="1008" t="s">
        <v>306</v>
      </c>
      <c r="AN8" s="1009" t="s">
        <v>471</v>
      </c>
    </row>
    <row r="9" spans="1:40" s="1010" customFormat="1" ht="15.75">
      <c r="A9" s="1011">
        <v>3.4</v>
      </c>
      <c r="B9" s="1012" t="s">
        <v>1452</v>
      </c>
      <c r="C9" s="145" t="s">
        <v>1453</v>
      </c>
      <c r="D9" s="1014">
        <v>90</v>
      </c>
      <c r="E9" s="1015">
        <v>0</v>
      </c>
      <c r="F9" s="1014">
        <v>2</v>
      </c>
      <c r="G9" s="1014">
        <v>0.2</v>
      </c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012"/>
      <c r="Y9" s="1012"/>
      <c r="Z9" s="1012"/>
      <c r="AA9" s="1012"/>
      <c r="AB9" s="630"/>
      <c r="AC9" s="145"/>
      <c r="AD9" s="1012"/>
      <c r="AE9" s="1012"/>
      <c r="AF9" s="1004">
        <v>16</v>
      </c>
      <c r="AG9" s="1004">
        <v>0</v>
      </c>
      <c r="AH9" s="1004">
        <v>96</v>
      </c>
      <c r="AI9" s="1005">
        <v>2.88</v>
      </c>
      <c r="AJ9" s="1008" t="s">
        <v>35</v>
      </c>
      <c r="AK9" s="630" t="s">
        <v>862</v>
      </c>
      <c r="AL9" s="1008" t="s">
        <v>1086</v>
      </c>
      <c r="AM9" s="1008" t="s">
        <v>306</v>
      </c>
      <c r="AN9" s="1009"/>
    </row>
    <row r="10" spans="1:40" s="1016" customFormat="1" ht="30">
      <c r="A10" s="1011">
        <v>3.5</v>
      </c>
      <c r="B10" s="1012" t="s">
        <v>476</v>
      </c>
      <c r="C10" s="145" t="s">
        <v>1454</v>
      </c>
      <c r="D10" s="878">
        <v>40</v>
      </c>
      <c r="E10" s="1015">
        <v>0</v>
      </c>
      <c r="F10" s="878">
        <v>2</v>
      </c>
      <c r="G10" s="1014">
        <v>0.2</v>
      </c>
      <c r="H10" s="145"/>
      <c r="I10" s="145"/>
      <c r="J10" s="145"/>
      <c r="K10" s="145"/>
      <c r="L10" s="145"/>
      <c r="M10" s="145"/>
      <c r="N10" s="68">
        <v>5</v>
      </c>
      <c r="O10" s="68">
        <v>0.15</v>
      </c>
      <c r="P10" s="68"/>
      <c r="Q10" s="68"/>
      <c r="R10" s="68"/>
      <c r="S10" s="68"/>
      <c r="T10" s="68"/>
      <c r="U10" s="68"/>
      <c r="V10" s="68"/>
      <c r="W10" s="68"/>
      <c r="X10" s="1012"/>
      <c r="Y10" s="1012"/>
      <c r="Z10" s="1012"/>
      <c r="AA10" s="1012"/>
      <c r="AB10" s="630">
        <v>26</v>
      </c>
      <c r="AC10" s="145">
        <v>0</v>
      </c>
      <c r="AD10" s="1012"/>
      <c r="AE10" s="1012"/>
      <c r="AF10" s="68"/>
      <c r="AG10" s="68"/>
      <c r="AH10" s="68"/>
      <c r="AI10" s="68"/>
      <c r="AJ10" s="1008" t="s">
        <v>35</v>
      </c>
      <c r="AK10" s="630" t="s">
        <v>862</v>
      </c>
      <c r="AL10" s="1008" t="s">
        <v>1455</v>
      </c>
      <c r="AM10" s="1008" t="s">
        <v>306</v>
      </c>
      <c r="AN10" s="1009" t="s">
        <v>471</v>
      </c>
    </row>
    <row r="11" spans="1:40" s="1010" customFormat="1" ht="15.75">
      <c r="A11" s="68">
        <v>3.6</v>
      </c>
      <c r="B11" s="1012" t="s">
        <v>803</v>
      </c>
      <c r="C11" s="145" t="s">
        <v>804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012"/>
      <c r="Y11" s="1012"/>
      <c r="Z11" s="1012"/>
      <c r="AA11" s="1012"/>
      <c r="AB11" s="630">
        <v>10</v>
      </c>
      <c r="AC11" s="145">
        <v>0</v>
      </c>
      <c r="AD11" s="1012"/>
      <c r="AE11" s="1012"/>
      <c r="AF11" s="68"/>
      <c r="AG11" s="68"/>
      <c r="AH11" s="68"/>
      <c r="AI11" s="68"/>
      <c r="AJ11" s="1008" t="s">
        <v>805</v>
      </c>
      <c r="AK11" s="1017" t="s">
        <v>49</v>
      </c>
      <c r="AL11" s="1008" t="s">
        <v>311</v>
      </c>
      <c r="AM11" s="1008" t="s">
        <v>306</v>
      </c>
      <c r="AN11" s="1009" t="s">
        <v>471</v>
      </c>
    </row>
    <row r="12" spans="1:40" s="1010" customFormat="1" ht="30.75" thickBot="1">
      <c r="A12" s="1011">
        <v>3.7</v>
      </c>
      <c r="B12" s="1012" t="s">
        <v>499</v>
      </c>
      <c r="C12" s="145" t="s">
        <v>500</v>
      </c>
      <c r="D12" s="145"/>
      <c r="E12" s="145"/>
      <c r="F12" s="145"/>
      <c r="G12" s="145"/>
      <c r="H12" s="1013"/>
      <c r="I12" s="1013"/>
      <c r="J12" s="1013">
        <v>81</v>
      </c>
      <c r="K12" s="1013">
        <v>2.43</v>
      </c>
      <c r="L12" s="145"/>
      <c r="M12" s="145"/>
      <c r="N12" s="145">
        <v>1</v>
      </c>
      <c r="O12" s="145">
        <v>0.45</v>
      </c>
      <c r="P12" s="145"/>
      <c r="Q12" s="145"/>
      <c r="R12" s="145"/>
      <c r="S12" s="145"/>
      <c r="T12" s="145"/>
      <c r="U12" s="145"/>
      <c r="V12" s="145"/>
      <c r="W12" s="145"/>
      <c r="X12" s="1012"/>
      <c r="Y12" s="1012"/>
      <c r="Z12" s="1012"/>
      <c r="AA12" s="1012"/>
      <c r="AB12" s="1012"/>
      <c r="AC12" s="1012"/>
      <c r="AD12" s="1012"/>
      <c r="AE12" s="1012"/>
      <c r="AF12" s="68"/>
      <c r="AG12" s="68"/>
      <c r="AH12" s="68"/>
      <c r="AI12" s="68"/>
      <c r="AJ12" s="1008" t="s">
        <v>35</v>
      </c>
      <c r="AK12" s="1017" t="s">
        <v>861</v>
      </c>
      <c r="AL12" s="1008" t="s">
        <v>1455</v>
      </c>
      <c r="AM12" s="1008" t="s">
        <v>306</v>
      </c>
      <c r="AN12" s="1009" t="s">
        <v>471</v>
      </c>
    </row>
    <row r="13" spans="1:40" s="1023" customFormat="1" ht="32.25" hidden="1" thickBot="1">
      <c r="A13" s="1018" t="s">
        <v>481</v>
      </c>
      <c r="B13" s="1019" t="s">
        <v>482</v>
      </c>
      <c r="C13" s="145" t="s">
        <v>483</v>
      </c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019"/>
      <c r="Y13" s="1019"/>
      <c r="Z13" s="1019"/>
      <c r="AA13" s="1019"/>
      <c r="AB13" s="1019"/>
      <c r="AC13" s="1019"/>
      <c r="AD13" s="1019"/>
      <c r="AE13" s="1019"/>
      <c r="AF13" s="1020"/>
      <c r="AG13" s="1020"/>
      <c r="AH13" s="1020"/>
      <c r="AI13" s="1020"/>
      <c r="AJ13" s="1021" t="s">
        <v>35</v>
      </c>
      <c r="AK13" s="1017" t="s">
        <v>484</v>
      </c>
      <c r="AL13" s="1021" t="s">
        <v>485</v>
      </c>
      <c r="AM13" s="1021" t="s">
        <v>470</v>
      </c>
      <c r="AN13" s="1022" t="s">
        <v>486</v>
      </c>
    </row>
    <row r="14" spans="1:40" s="1023" customFormat="1" ht="32.25" hidden="1" thickBot="1">
      <c r="A14" s="1018">
        <v>3.1</v>
      </c>
      <c r="B14" s="1019" t="s">
        <v>487</v>
      </c>
      <c r="C14" s="145" t="s">
        <v>488</v>
      </c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019"/>
      <c r="Y14" s="1019"/>
      <c r="Z14" s="1019"/>
      <c r="AA14" s="1019"/>
      <c r="AB14" s="1019"/>
      <c r="AC14" s="1019"/>
      <c r="AD14" s="1019"/>
      <c r="AE14" s="1019"/>
      <c r="AF14" s="1020"/>
      <c r="AG14" s="1020"/>
      <c r="AH14" s="1020"/>
      <c r="AI14" s="1020"/>
      <c r="AJ14" s="1021" t="s">
        <v>35</v>
      </c>
      <c r="AK14" s="1017" t="s">
        <v>489</v>
      </c>
      <c r="AL14" s="1021" t="s">
        <v>490</v>
      </c>
      <c r="AM14" s="1021" t="s">
        <v>491</v>
      </c>
      <c r="AN14" s="1022" t="s">
        <v>492</v>
      </c>
    </row>
    <row r="15" spans="1:40" s="1023" customFormat="1" ht="32.25" hidden="1" thickBot="1">
      <c r="A15" s="1018">
        <v>3.6</v>
      </c>
      <c r="B15" s="1019" t="s">
        <v>493</v>
      </c>
      <c r="C15" s="145" t="s">
        <v>494</v>
      </c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019"/>
      <c r="Y15" s="1019"/>
      <c r="Z15" s="1019"/>
      <c r="AA15" s="1019"/>
      <c r="AB15" s="1019"/>
      <c r="AC15" s="1019"/>
      <c r="AD15" s="1019"/>
      <c r="AE15" s="1019"/>
      <c r="AF15" s="1020"/>
      <c r="AG15" s="1020"/>
      <c r="AH15" s="1020"/>
      <c r="AI15" s="1020"/>
      <c r="AJ15" s="1021" t="s">
        <v>35</v>
      </c>
      <c r="AK15" s="1017" t="s">
        <v>495</v>
      </c>
      <c r="AL15" s="1021" t="s">
        <v>490</v>
      </c>
      <c r="AM15" s="1021" t="s">
        <v>491</v>
      </c>
      <c r="AN15" s="1022" t="s">
        <v>492</v>
      </c>
    </row>
    <row r="16" spans="1:40" s="1023" customFormat="1" ht="45.75" hidden="1" thickBot="1">
      <c r="A16" s="1018">
        <v>3.5</v>
      </c>
      <c r="B16" s="1019" t="s">
        <v>496</v>
      </c>
      <c r="C16" s="145" t="s">
        <v>497</v>
      </c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024"/>
      <c r="Y16" s="1024"/>
      <c r="Z16" s="1024"/>
      <c r="AA16" s="1024"/>
      <c r="AB16" s="1024"/>
      <c r="AC16" s="1024"/>
      <c r="AD16" s="1024"/>
      <c r="AE16" s="1024"/>
      <c r="AF16" s="1020"/>
      <c r="AG16" s="1020"/>
      <c r="AH16" s="1020"/>
      <c r="AI16" s="1020"/>
      <c r="AJ16" s="1021" t="s">
        <v>35</v>
      </c>
      <c r="AK16" s="1017" t="s">
        <v>498</v>
      </c>
      <c r="AL16" s="1021" t="s">
        <v>490</v>
      </c>
      <c r="AM16" s="1021" t="s">
        <v>491</v>
      </c>
      <c r="AN16" s="1022" t="s">
        <v>492</v>
      </c>
    </row>
    <row r="17" spans="1:40" ht="21" customHeight="1" thickBot="1">
      <c r="A17" s="934"/>
      <c r="B17" s="936" t="s">
        <v>17</v>
      </c>
      <c r="C17" s="936"/>
      <c r="D17" s="936">
        <f>SUM(D6:D12)</f>
        <v>130</v>
      </c>
      <c r="E17" s="936">
        <f aca="true" t="shared" si="0" ref="E17:AI17">SUM(E6:E12)</f>
        <v>0</v>
      </c>
      <c r="F17" s="936">
        <f t="shared" si="0"/>
        <v>4</v>
      </c>
      <c r="G17" s="936">
        <f t="shared" si="0"/>
        <v>0.4</v>
      </c>
      <c r="H17" s="936">
        <f t="shared" si="0"/>
        <v>0</v>
      </c>
      <c r="I17" s="936">
        <f t="shared" si="0"/>
        <v>0</v>
      </c>
      <c r="J17" s="936">
        <f t="shared" si="0"/>
        <v>129</v>
      </c>
      <c r="K17" s="936">
        <f t="shared" si="0"/>
        <v>4.83</v>
      </c>
      <c r="L17" s="936">
        <f t="shared" si="0"/>
        <v>18</v>
      </c>
      <c r="M17" s="936">
        <f t="shared" si="0"/>
        <v>0</v>
      </c>
      <c r="N17" s="936">
        <f t="shared" si="0"/>
        <v>11</v>
      </c>
      <c r="O17" s="936">
        <f t="shared" si="0"/>
        <v>1.35</v>
      </c>
      <c r="P17" s="936">
        <f t="shared" si="0"/>
        <v>0</v>
      </c>
      <c r="Q17" s="936">
        <f t="shared" si="0"/>
        <v>0</v>
      </c>
      <c r="R17" s="936">
        <f t="shared" si="0"/>
        <v>0</v>
      </c>
      <c r="S17" s="936">
        <f t="shared" si="0"/>
        <v>0</v>
      </c>
      <c r="T17" s="936">
        <f t="shared" si="0"/>
        <v>0</v>
      </c>
      <c r="U17" s="936">
        <f t="shared" si="0"/>
        <v>0</v>
      </c>
      <c r="V17" s="936">
        <f t="shared" si="0"/>
        <v>0</v>
      </c>
      <c r="W17" s="936">
        <f t="shared" si="0"/>
        <v>0</v>
      </c>
      <c r="X17" s="936">
        <f t="shared" si="0"/>
        <v>0</v>
      </c>
      <c r="Y17" s="936">
        <f t="shared" si="0"/>
        <v>0</v>
      </c>
      <c r="Z17" s="936">
        <f t="shared" si="0"/>
        <v>0</v>
      </c>
      <c r="AA17" s="936">
        <f t="shared" si="0"/>
        <v>0</v>
      </c>
      <c r="AB17" s="936">
        <f t="shared" si="0"/>
        <v>47</v>
      </c>
      <c r="AC17" s="936">
        <f t="shared" si="0"/>
        <v>0</v>
      </c>
      <c r="AD17" s="936">
        <f t="shared" si="0"/>
        <v>0</v>
      </c>
      <c r="AE17" s="936">
        <f t="shared" si="0"/>
        <v>0</v>
      </c>
      <c r="AF17" s="936">
        <f t="shared" si="0"/>
        <v>22</v>
      </c>
      <c r="AG17" s="936">
        <f t="shared" si="0"/>
        <v>0</v>
      </c>
      <c r="AH17" s="936">
        <f t="shared" si="0"/>
        <v>169</v>
      </c>
      <c r="AI17" s="936">
        <f t="shared" si="0"/>
        <v>6.38</v>
      </c>
      <c r="AJ17" s="937"/>
      <c r="AK17" s="937"/>
      <c r="AL17" s="937"/>
      <c r="AM17" s="938"/>
      <c r="AN17" s="1025"/>
    </row>
    <row r="18" ht="21.75" customHeight="1">
      <c r="AJ18" s="1006"/>
    </row>
    <row r="19" ht="21.75" customHeight="1">
      <c r="AJ19" s="1006"/>
    </row>
    <row r="20" ht="21.75" customHeight="1">
      <c r="AJ20" s="1006"/>
    </row>
    <row r="21" ht="21.75" customHeight="1">
      <c r="AJ21" s="1007"/>
    </row>
    <row r="22" ht="21.75" customHeight="1">
      <c r="AJ22" s="1006"/>
    </row>
    <row r="23" ht="21.75" customHeight="1">
      <c r="AJ23" s="254"/>
    </row>
  </sheetData>
  <sheetProtection/>
  <mergeCells count="36">
    <mergeCell ref="AK4:AK5"/>
    <mergeCell ref="AL4:AL5"/>
    <mergeCell ref="AM4:AM5"/>
    <mergeCell ref="AN4:AN5"/>
    <mergeCell ref="Z4:AA4"/>
    <mergeCell ref="AB4:AC4"/>
    <mergeCell ref="AD4:AE4"/>
    <mergeCell ref="AF4:AG4"/>
    <mergeCell ref="AH4:AI4"/>
    <mergeCell ref="AJ4:AJ5"/>
    <mergeCell ref="N4:O4"/>
    <mergeCell ref="P4:Q4"/>
    <mergeCell ref="R4:S4"/>
    <mergeCell ref="T4:U4"/>
    <mergeCell ref="V4:W4"/>
    <mergeCell ref="X4:Y4"/>
    <mergeCell ref="AF3:AI3"/>
    <mergeCell ref="AJ3:AN3"/>
    <mergeCell ref="A4:A5"/>
    <mergeCell ref="B4:B5"/>
    <mergeCell ref="C4:C5"/>
    <mergeCell ref="D4:E4"/>
    <mergeCell ref="F4:G4"/>
    <mergeCell ref="H4:I4"/>
    <mergeCell ref="J4:K4"/>
    <mergeCell ref="L4:M4"/>
    <mergeCell ref="A1:AN1"/>
    <mergeCell ref="A2:AN2"/>
    <mergeCell ref="A3:C3"/>
    <mergeCell ref="D3:G3"/>
    <mergeCell ref="H3:K3"/>
    <mergeCell ref="L3:O3"/>
    <mergeCell ref="P3:S3"/>
    <mergeCell ref="T3:W3"/>
    <mergeCell ref="X3:AA3"/>
    <mergeCell ref="AB3:AE3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J22"/>
  <sheetViews>
    <sheetView tabSelected="1"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3" sqref="P3:S3"/>
    </sheetView>
  </sheetViews>
  <sheetFormatPr defaultColWidth="15.7109375" defaultRowHeight="21.75" customHeight="1"/>
  <cols>
    <col min="1" max="1" width="12.00390625" style="598" customWidth="1"/>
    <col min="2" max="2" width="24.421875" style="598" customWidth="1"/>
    <col min="3" max="3" width="22.8515625" style="598" customWidth="1"/>
    <col min="4" max="8" width="6.57421875" style="598" customWidth="1"/>
    <col min="9" max="9" width="6.7109375" style="598" customWidth="1"/>
    <col min="10" max="10" width="6.57421875" style="598" customWidth="1"/>
    <col min="11" max="15" width="6.421875" style="598" customWidth="1"/>
    <col min="16" max="31" width="7.140625" style="598" customWidth="1"/>
    <col min="32" max="32" width="12.28125" style="598" customWidth="1"/>
    <col min="33" max="33" width="23.140625" style="598" customWidth="1"/>
    <col min="34" max="34" width="12.00390625" style="598" customWidth="1"/>
    <col min="35" max="36" width="15.140625" style="598" customWidth="1"/>
    <col min="37" max="16384" width="15.7109375" style="598" customWidth="1"/>
  </cols>
  <sheetData>
    <row r="1" spans="1:36" ht="16.5" thickBot="1">
      <c r="A1" s="1471" t="s">
        <v>267</v>
      </c>
      <c r="B1" s="1472"/>
      <c r="C1" s="1472"/>
      <c r="D1" s="1472"/>
      <c r="E1" s="1472"/>
      <c r="F1" s="1472"/>
      <c r="G1" s="1472"/>
      <c r="H1" s="1472"/>
      <c r="I1" s="1472"/>
      <c r="J1" s="1472"/>
      <c r="K1" s="1472"/>
      <c r="L1" s="1472"/>
      <c r="M1" s="1472"/>
      <c r="N1" s="1472"/>
      <c r="O1" s="1472"/>
      <c r="P1" s="1472"/>
      <c r="Q1" s="1472"/>
      <c r="R1" s="1472"/>
      <c r="S1" s="1472"/>
      <c r="T1" s="1472"/>
      <c r="U1" s="1472"/>
      <c r="V1" s="1472"/>
      <c r="W1" s="1472"/>
      <c r="X1" s="1472"/>
      <c r="Y1" s="1472"/>
      <c r="Z1" s="1472"/>
      <c r="AA1" s="1472"/>
      <c r="AB1" s="1472"/>
      <c r="AC1" s="1472"/>
      <c r="AD1" s="1472"/>
      <c r="AE1" s="1472"/>
      <c r="AF1" s="1472"/>
      <c r="AG1" s="1472"/>
      <c r="AH1" s="1472"/>
      <c r="AI1" s="1472"/>
      <c r="AJ1" s="1473"/>
    </row>
    <row r="2" spans="1:36" ht="16.5" thickBot="1">
      <c r="A2" s="1383" t="s">
        <v>1</v>
      </c>
      <c r="B2" s="1384"/>
      <c r="C2" s="1384"/>
      <c r="D2" s="1384"/>
      <c r="E2" s="1384"/>
      <c r="F2" s="1384"/>
      <c r="G2" s="1384"/>
      <c r="H2" s="1384"/>
      <c r="I2" s="1384"/>
      <c r="J2" s="1384"/>
      <c r="K2" s="1384"/>
      <c r="L2" s="1384"/>
      <c r="M2" s="1384"/>
      <c r="N2" s="1384"/>
      <c r="O2" s="1384"/>
      <c r="P2" s="1384"/>
      <c r="Q2" s="1384"/>
      <c r="R2" s="1384"/>
      <c r="S2" s="1384"/>
      <c r="T2" s="1384"/>
      <c r="U2" s="1384"/>
      <c r="V2" s="1384"/>
      <c r="W2" s="1384"/>
      <c r="X2" s="1384"/>
      <c r="Y2" s="1384"/>
      <c r="Z2" s="1384"/>
      <c r="AA2" s="1384"/>
      <c r="AB2" s="1384"/>
      <c r="AC2" s="1384"/>
      <c r="AD2" s="1384"/>
      <c r="AE2" s="1384"/>
      <c r="AF2" s="1384"/>
      <c r="AG2" s="1384"/>
      <c r="AH2" s="1384"/>
      <c r="AI2" s="1384"/>
      <c r="AJ2" s="1474"/>
    </row>
    <row r="3" spans="1:36" ht="16.5" thickBot="1">
      <c r="A3" s="895"/>
      <c r="B3" s="896"/>
      <c r="C3" s="896"/>
      <c r="D3" s="1114" t="s">
        <v>1105</v>
      </c>
      <c r="E3" s="1115"/>
      <c r="F3" s="1115"/>
      <c r="G3" s="1116"/>
      <c r="H3" s="1114" t="s">
        <v>1106</v>
      </c>
      <c r="I3" s="1115"/>
      <c r="J3" s="1115"/>
      <c r="K3" s="1116"/>
      <c r="L3" s="1114" t="s">
        <v>1107</v>
      </c>
      <c r="M3" s="1115"/>
      <c r="N3" s="1115"/>
      <c r="O3" s="1116"/>
      <c r="P3" s="1114" t="s">
        <v>1108</v>
      </c>
      <c r="Q3" s="1115"/>
      <c r="R3" s="1115"/>
      <c r="S3" s="1116"/>
      <c r="T3" s="1114" t="s">
        <v>1109</v>
      </c>
      <c r="U3" s="1115"/>
      <c r="V3" s="1115"/>
      <c r="W3" s="1116"/>
      <c r="X3" s="1114" t="s">
        <v>1110</v>
      </c>
      <c r="Y3" s="1115"/>
      <c r="Z3" s="1115"/>
      <c r="AA3" s="1116"/>
      <c r="AB3" s="1114" t="s">
        <v>1172</v>
      </c>
      <c r="AC3" s="1115"/>
      <c r="AD3" s="1115"/>
      <c r="AE3" s="1116"/>
      <c r="AF3" s="896"/>
      <c r="AG3" s="896"/>
      <c r="AH3" s="896"/>
      <c r="AI3" s="896"/>
      <c r="AJ3" s="1026"/>
    </row>
    <row r="4" spans="1:36" ht="21.75" customHeight="1">
      <c r="A4" s="1413" t="s">
        <v>265</v>
      </c>
      <c r="B4" s="1414" t="s">
        <v>2</v>
      </c>
      <c r="C4" s="1414" t="s">
        <v>3</v>
      </c>
      <c r="D4" s="1397" t="s">
        <v>112</v>
      </c>
      <c r="E4" s="1397"/>
      <c r="F4" s="1397" t="s">
        <v>113</v>
      </c>
      <c r="G4" s="1397"/>
      <c r="H4" s="1397" t="s">
        <v>112</v>
      </c>
      <c r="I4" s="1397"/>
      <c r="J4" s="1397" t="s">
        <v>113</v>
      </c>
      <c r="K4" s="1397"/>
      <c r="L4" s="1397" t="s">
        <v>112</v>
      </c>
      <c r="M4" s="1397"/>
      <c r="N4" s="1397" t="s">
        <v>113</v>
      </c>
      <c r="O4" s="1397"/>
      <c r="P4" s="1397" t="s">
        <v>112</v>
      </c>
      <c r="Q4" s="1397"/>
      <c r="R4" s="1397" t="s">
        <v>113</v>
      </c>
      <c r="S4" s="1397"/>
      <c r="T4" s="1397" t="s">
        <v>112</v>
      </c>
      <c r="U4" s="1397"/>
      <c r="V4" s="1397" t="s">
        <v>113</v>
      </c>
      <c r="W4" s="1397"/>
      <c r="X4" s="1397" t="s">
        <v>112</v>
      </c>
      <c r="Y4" s="1397"/>
      <c r="Z4" s="1397" t="s">
        <v>113</v>
      </c>
      <c r="AA4" s="1397"/>
      <c r="AB4" s="1397" t="s">
        <v>112</v>
      </c>
      <c r="AC4" s="1397"/>
      <c r="AD4" s="1397" t="s">
        <v>113</v>
      </c>
      <c r="AE4" s="1397"/>
      <c r="AF4" s="1397" t="s">
        <v>4</v>
      </c>
      <c r="AG4" s="1397" t="s">
        <v>122</v>
      </c>
      <c r="AH4" s="1452" t="s">
        <v>5</v>
      </c>
      <c r="AI4" s="1416" t="s">
        <v>83</v>
      </c>
      <c r="AJ4" s="1422" t="s">
        <v>84</v>
      </c>
    </row>
    <row r="5" spans="1:36" ht="57.75" customHeight="1" thickBot="1">
      <c r="A5" s="1272"/>
      <c r="B5" s="1415"/>
      <c r="C5" s="1415"/>
      <c r="D5" s="25" t="s">
        <v>6</v>
      </c>
      <c r="E5" s="25" t="s">
        <v>7</v>
      </c>
      <c r="F5" s="25" t="s">
        <v>6</v>
      </c>
      <c r="G5" s="25" t="s">
        <v>96</v>
      </c>
      <c r="H5" s="25" t="s">
        <v>6</v>
      </c>
      <c r="I5" s="25" t="s">
        <v>7</v>
      </c>
      <c r="J5" s="25" t="s">
        <v>6</v>
      </c>
      <c r="K5" s="25" t="s">
        <v>96</v>
      </c>
      <c r="L5" s="25" t="s">
        <v>6</v>
      </c>
      <c r="M5" s="25" t="s">
        <v>7</v>
      </c>
      <c r="N5" s="25" t="s">
        <v>6</v>
      </c>
      <c r="O5" s="25" t="s">
        <v>96</v>
      </c>
      <c r="P5" s="25" t="s">
        <v>6</v>
      </c>
      <c r="Q5" s="25" t="s">
        <v>7</v>
      </c>
      <c r="R5" s="25" t="s">
        <v>6</v>
      </c>
      <c r="S5" s="25" t="s">
        <v>96</v>
      </c>
      <c r="T5" s="25" t="s">
        <v>6</v>
      </c>
      <c r="U5" s="25" t="s">
        <v>7</v>
      </c>
      <c r="V5" s="25" t="s">
        <v>6</v>
      </c>
      <c r="W5" s="25" t="s">
        <v>96</v>
      </c>
      <c r="X5" s="25" t="s">
        <v>6</v>
      </c>
      <c r="Y5" s="25" t="s">
        <v>7</v>
      </c>
      <c r="Z5" s="25" t="s">
        <v>6</v>
      </c>
      <c r="AA5" s="25" t="s">
        <v>96</v>
      </c>
      <c r="AB5" s="25" t="s">
        <v>6</v>
      </c>
      <c r="AC5" s="25" t="s">
        <v>7</v>
      </c>
      <c r="AD5" s="25" t="s">
        <v>6</v>
      </c>
      <c r="AE5" s="25" t="s">
        <v>96</v>
      </c>
      <c r="AF5" s="1118"/>
      <c r="AG5" s="1118"/>
      <c r="AH5" s="1453"/>
      <c r="AI5" s="1417"/>
      <c r="AJ5" s="1423"/>
    </row>
    <row r="6" spans="1:36" s="1010" customFormat="1" ht="30">
      <c r="A6" s="68">
        <v>3.1</v>
      </c>
      <c r="B6" s="1003" t="s">
        <v>799</v>
      </c>
      <c r="C6" s="145" t="s">
        <v>34</v>
      </c>
      <c r="D6" s="145"/>
      <c r="E6" s="145"/>
      <c r="F6" s="145"/>
      <c r="G6" s="149">
        <v>0.5</v>
      </c>
      <c r="H6" s="145"/>
      <c r="I6" s="145"/>
      <c r="J6" s="145"/>
      <c r="K6" s="145"/>
      <c r="L6" s="145"/>
      <c r="M6" s="145"/>
      <c r="N6" s="145"/>
      <c r="O6" s="145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149">
        <v>0.5</v>
      </c>
      <c r="AF6" s="1008" t="s">
        <v>35</v>
      </c>
      <c r="AG6" s="630">
        <v>30</v>
      </c>
      <c r="AH6" s="1008" t="s">
        <v>469</v>
      </c>
      <c r="AI6" s="1008" t="s">
        <v>470</v>
      </c>
      <c r="AJ6" s="1009" t="s">
        <v>471</v>
      </c>
    </row>
    <row r="7" spans="1:36" s="1010" customFormat="1" ht="15.75">
      <c r="A7" s="1011">
        <v>3.2</v>
      </c>
      <c r="B7" s="1012" t="s">
        <v>472</v>
      </c>
      <c r="C7" s="145" t="s">
        <v>34</v>
      </c>
      <c r="D7" s="145"/>
      <c r="E7" s="145"/>
      <c r="F7" s="145"/>
      <c r="G7" s="145">
        <v>0.1</v>
      </c>
      <c r="H7" s="1012"/>
      <c r="I7" s="1012"/>
      <c r="J7" s="1012"/>
      <c r="K7" s="1012"/>
      <c r="L7" s="790">
        <v>0</v>
      </c>
      <c r="M7" s="790">
        <v>0</v>
      </c>
      <c r="N7" s="790">
        <v>4</v>
      </c>
      <c r="O7" s="790">
        <v>0.1</v>
      </c>
      <c r="P7" s="68"/>
      <c r="Q7" s="68"/>
      <c r="R7" s="68"/>
      <c r="S7" s="68"/>
      <c r="T7" s="630"/>
      <c r="U7" s="630"/>
      <c r="V7" s="630">
        <v>750</v>
      </c>
      <c r="W7" s="630">
        <v>15.1</v>
      </c>
      <c r="X7" s="630"/>
      <c r="Y7" s="630"/>
      <c r="Z7" s="630"/>
      <c r="AA7" s="630"/>
      <c r="AB7" s="630"/>
      <c r="AC7" s="630"/>
      <c r="AD7" s="630"/>
      <c r="AE7" s="145">
        <v>0.1</v>
      </c>
      <c r="AF7" s="1008" t="s">
        <v>73</v>
      </c>
      <c r="AG7" s="630">
        <v>30</v>
      </c>
      <c r="AH7" s="1008" t="s">
        <v>469</v>
      </c>
      <c r="AI7" s="1008" t="s">
        <v>306</v>
      </c>
      <c r="AJ7" s="1009" t="s">
        <v>471</v>
      </c>
    </row>
    <row r="8" spans="1:36" s="1010" customFormat="1" ht="15.75">
      <c r="A8" s="1011">
        <v>3.3</v>
      </c>
      <c r="B8" s="1012" t="s">
        <v>473</v>
      </c>
      <c r="C8" s="145" t="s">
        <v>474</v>
      </c>
      <c r="D8" s="145"/>
      <c r="E8" s="145"/>
      <c r="F8" s="145"/>
      <c r="G8" s="30">
        <v>0.5</v>
      </c>
      <c r="H8" s="1012"/>
      <c r="I8" s="1012"/>
      <c r="J8" s="1012"/>
      <c r="K8" s="1012"/>
      <c r="L8" s="1012"/>
      <c r="M8" s="1012"/>
      <c r="N8" s="1012"/>
      <c r="O8" s="1012"/>
      <c r="P8" s="68"/>
      <c r="Q8" s="68"/>
      <c r="R8" s="68"/>
      <c r="S8" s="68"/>
      <c r="T8" s="630"/>
      <c r="U8" s="630"/>
      <c r="V8" s="630">
        <v>1020</v>
      </c>
      <c r="W8" s="630">
        <v>19.5</v>
      </c>
      <c r="X8" s="630"/>
      <c r="Y8" s="630"/>
      <c r="Z8" s="630"/>
      <c r="AA8" s="630"/>
      <c r="AB8" s="630"/>
      <c r="AC8" s="630"/>
      <c r="AD8" s="630"/>
      <c r="AE8" s="30">
        <v>0.5</v>
      </c>
      <c r="AF8" s="1008" t="s">
        <v>35</v>
      </c>
      <c r="AG8" s="630">
        <v>30</v>
      </c>
      <c r="AH8" s="1008" t="s">
        <v>475</v>
      </c>
      <c r="AI8" s="1008" t="s">
        <v>306</v>
      </c>
      <c r="AJ8" s="1009" t="s">
        <v>471</v>
      </c>
    </row>
    <row r="9" spans="1:36" s="1016" customFormat="1" ht="15.75">
      <c r="A9" s="1011">
        <v>3.5</v>
      </c>
      <c r="B9" s="1012" t="s">
        <v>476</v>
      </c>
      <c r="C9" s="145" t="s">
        <v>477</v>
      </c>
      <c r="D9" s="145"/>
      <c r="E9" s="145"/>
      <c r="F9" s="145"/>
      <c r="G9" s="30">
        <v>2.5</v>
      </c>
      <c r="H9" s="1012"/>
      <c r="I9" s="1012"/>
      <c r="J9" s="1012"/>
      <c r="K9" s="1012"/>
      <c r="L9" s="1012"/>
      <c r="M9" s="1012"/>
      <c r="N9" s="1012"/>
      <c r="O9" s="1012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30">
        <v>2.5</v>
      </c>
      <c r="AF9" s="1008" t="s">
        <v>35</v>
      </c>
      <c r="AG9" s="630">
        <v>40</v>
      </c>
      <c r="AH9" s="1008" t="s">
        <v>478</v>
      </c>
      <c r="AI9" s="1008" t="s">
        <v>306</v>
      </c>
      <c r="AJ9" s="1009" t="s">
        <v>471</v>
      </c>
    </row>
    <row r="10" spans="1:36" s="1010" customFormat="1" ht="15.75">
      <c r="A10" s="68">
        <v>3.6</v>
      </c>
      <c r="B10" s="1012" t="s">
        <v>803</v>
      </c>
      <c r="C10" s="145" t="s">
        <v>804</v>
      </c>
      <c r="D10" s="145"/>
      <c r="E10" s="145"/>
      <c r="F10" s="145"/>
      <c r="G10" s="30">
        <v>1</v>
      </c>
      <c r="H10" s="1012"/>
      <c r="I10" s="1012"/>
      <c r="J10" s="1012"/>
      <c r="K10" s="1012"/>
      <c r="L10" s="790">
        <v>0</v>
      </c>
      <c r="M10" s="145" t="s">
        <v>1456</v>
      </c>
      <c r="N10" s="145">
        <v>38</v>
      </c>
      <c r="O10" s="790">
        <v>2</v>
      </c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30">
        <v>1</v>
      </c>
      <c r="AF10" s="1008" t="s">
        <v>805</v>
      </c>
      <c r="AG10" s="630">
        <v>30</v>
      </c>
      <c r="AH10" s="1008" t="s">
        <v>311</v>
      </c>
      <c r="AI10" s="1008" t="s">
        <v>306</v>
      </c>
      <c r="AJ10" s="1009" t="s">
        <v>471</v>
      </c>
    </row>
    <row r="11" spans="1:36" s="1010" customFormat="1" ht="30.75" thickBot="1">
      <c r="A11" s="1011">
        <v>3.7</v>
      </c>
      <c r="B11" s="1012" t="s">
        <v>499</v>
      </c>
      <c r="C11" s="145" t="s">
        <v>500</v>
      </c>
      <c r="D11" s="145"/>
      <c r="E11" s="145"/>
      <c r="F11" s="145"/>
      <c r="G11" s="145"/>
      <c r="H11" s="1012"/>
      <c r="I11" s="1012"/>
      <c r="J11" s="1012"/>
      <c r="K11" s="1012"/>
      <c r="L11" s="1012"/>
      <c r="M11" s="1012"/>
      <c r="N11" s="1012"/>
      <c r="O11" s="1012"/>
      <c r="P11" s="68"/>
      <c r="Q11" s="68"/>
      <c r="R11" s="68"/>
      <c r="S11" s="68"/>
      <c r="T11" s="630"/>
      <c r="U11" s="630"/>
      <c r="V11" s="630">
        <v>2690</v>
      </c>
      <c r="W11" s="630">
        <v>57.79</v>
      </c>
      <c r="X11" s="630"/>
      <c r="Y11" s="630"/>
      <c r="Z11" s="630"/>
      <c r="AA11" s="630"/>
      <c r="AB11" s="630"/>
      <c r="AC11" s="630"/>
      <c r="AD11" s="630"/>
      <c r="AE11" s="630"/>
      <c r="AF11" s="1008" t="s">
        <v>35</v>
      </c>
      <c r="AG11" s="630">
        <v>20</v>
      </c>
      <c r="AH11" s="1008" t="s">
        <v>478</v>
      </c>
      <c r="AI11" s="1008" t="s">
        <v>306</v>
      </c>
      <c r="AJ11" s="1009" t="s">
        <v>480</v>
      </c>
    </row>
    <row r="12" spans="1:36" s="1023" customFormat="1" ht="32.25" hidden="1" thickBot="1">
      <c r="A12" s="1018" t="s">
        <v>481</v>
      </c>
      <c r="B12" s="1019" t="s">
        <v>482</v>
      </c>
      <c r="C12" s="145" t="s">
        <v>483</v>
      </c>
      <c r="D12" s="145"/>
      <c r="E12" s="145"/>
      <c r="F12" s="145"/>
      <c r="G12" s="145"/>
      <c r="H12" s="1019"/>
      <c r="I12" s="1019"/>
      <c r="J12" s="1019"/>
      <c r="K12" s="1019"/>
      <c r="L12" s="1019"/>
      <c r="M12" s="1019"/>
      <c r="N12" s="1019"/>
      <c r="O12" s="1019"/>
      <c r="P12" s="1020"/>
      <c r="Q12" s="1020"/>
      <c r="R12" s="1020"/>
      <c r="S12" s="1020"/>
      <c r="T12" s="1020"/>
      <c r="U12" s="1020"/>
      <c r="V12" s="1020"/>
      <c r="W12" s="1020"/>
      <c r="X12" s="1020"/>
      <c r="Y12" s="1020"/>
      <c r="Z12" s="1020"/>
      <c r="AA12" s="1020"/>
      <c r="AB12" s="1020"/>
      <c r="AC12" s="1020"/>
      <c r="AD12" s="1020"/>
      <c r="AE12" s="1020"/>
      <c r="AF12" s="1021" t="s">
        <v>35</v>
      </c>
      <c r="AG12" s="1017" t="s">
        <v>484</v>
      </c>
      <c r="AH12" s="1021" t="s">
        <v>485</v>
      </c>
      <c r="AI12" s="1021" t="s">
        <v>470</v>
      </c>
      <c r="AJ12" s="1022" t="s">
        <v>486</v>
      </c>
    </row>
    <row r="13" spans="1:36" s="1023" customFormat="1" ht="32.25" hidden="1" thickBot="1">
      <c r="A13" s="1018">
        <v>3.1</v>
      </c>
      <c r="B13" s="1019" t="s">
        <v>487</v>
      </c>
      <c r="C13" s="145" t="s">
        <v>488</v>
      </c>
      <c r="D13" s="145"/>
      <c r="E13" s="145"/>
      <c r="F13" s="145"/>
      <c r="G13" s="145"/>
      <c r="H13" s="1019"/>
      <c r="I13" s="1019"/>
      <c r="J13" s="1019"/>
      <c r="K13" s="1019"/>
      <c r="L13" s="1019"/>
      <c r="M13" s="1019"/>
      <c r="N13" s="1019"/>
      <c r="O13" s="1019"/>
      <c r="P13" s="1020"/>
      <c r="Q13" s="1020"/>
      <c r="R13" s="1020"/>
      <c r="S13" s="1020"/>
      <c r="T13" s="1020"/>
      <c r="U13" s="1020"/>
      <c r="V13" s="1020"/>
      <c r="W13" s="1020"/>
      <c r="X13" s="1020"/>
      <c r="Y13" s="1020"/>
      <c r="Z13" s="1020"/>
      <c r="AA13" s="1020"/>
      <c r="AB13" s="1020"/>
      <c r="AC13" s="1020"/>
      <c r="AD13" s="1020"/>
      <c r="AE13" s="1020"/>
      <c r="AF13" s="1021" t="s">
        <v>35</v>
      </c>
      <c r="AG13" s="1017" t="s">
        <v>489</v>
      </c>
      <c r="AH13" s="1021" t="s">
        <v>490</v>
      </c>
      <c r="AI13" s="1021" t="s">
        <v>491</v>
      </c>
      <c r="AJ13" s="1022" t="s">
        <v>492</v>
      </c>
    </row>
    <row r="14" spans="1:36" s="1023" customFormat="1" ht="32.25" hidden="1" thickBot="1">
      <c r="A14" s="1018">
        <v>3.6</v>
      </c>
      <c r="B14" s="1019" t="s">
        <v>493</v>
      </c>
      <c r="C14" s="145" t="s">
        <v>494</v>
      </c>
      <c r="D14" s="145"/>
      <c r="E14" s="145"/>
      <c r="F14" s="145"/>
      <c r="G14" s="145"/>
      <c r="H14" s="1019"/>
      <c r="I14" s="1019"/>
      <c r="J14" s="1019"/>
      <c r="K14" s="1019"/>
      <c r="L14" s="1019"/>
      <c r="M14" s="1019"/>
      <c r="N14" s="1019"/>
      <c r="O14" s="1019"/>
      <c r="P14" s="1020"/>
      <c r="Q14" s="1020"/>
      <c r="R14" s="1020"/>
      <c r="S14" s="1020"/>
      <c r="T14" s="1020"/>
      <c r="U14" s="1020"/>
      <c r="V14" s="1020"/>
      <c r="W14" s="1020"/>
      <c r="X14" s="1020"/>
      <c r="Y14" s="1020"/>
      <c r="Z14" s="1020"/>
      <c r="AA14" s="1020"/>
      <c r="AB14" s="1020"/>
      <c r="AC14" s="1020"/>
      <c r="AD14" s="1020"/>
      <c r="AE14" s="1020"/>
      <c r="AF14" s="1021" t="s">
        <v>35</v>
      </c>
      <c r="AG14" s="1017" t="s">
        <v>495</v>
      </c>
      <c r="AH14" s="1021" t="s">
        <v>490</v>
      </c>
      <c r="AI14" s="1021" t="s">
        <v>491</v>
      </c>
      <c r="AJ14" s="1022" t="s">
        <v>492</v>
      </c>
    </row>
    <row r="15" spans="1:36" s="1023" customFormat="1" ht="45.75" hidden="1" thickBot="1">
      <c r="A15" s="1018">
        <v>3.5</v>
      </c>
      <c r="B15" s="1019" t="s">
        <v>496</v>
      </c>
      <c r="C15" s="145" t="s">
        <v>497</v>
      </c>
      <c r="D15" s="145"/>
      <c r="E15" s="145"/>
      <c r="F15" s="145"/>
      <c r="G15" s="145"/>
      <c r="H15" s="1024"/>
      <c r="I15" s="1024"/>
      <c r="J15" s="1024"/>
      <c r="K15" s="1024"/>
      <c r="L15" s="1024"/>
      <c r="M15" s="1024"/>
      <c r="N15" s="1024"/>
      <c r="O15" s="1024"/>
      <c r="P15" s="1020"/>
      <c r="Q15" s="1020"/>
      <c r="R15" s="1020"/>
      <c r="S15" s="1020"/>
      <c r="T15" s="1020"/>
      <c r="U15" s="1020"/>
      <c r="V15" s="1020"/>
      <c r="W15" s="1020"/>
      <c r="X15" s="1020"/>
      <c r="Y15" s="1020"/>
      <c r="Z15" s="1020"/>
      <c r="AA15" s="1020"/>
      <c r="AB15" s="1020"/>
      <c r="AC15" s="1020"/>
      <c r="AD15" s="1020"/>
      <c r="AE15" s="1020"/>
      <c r="AF15" s="1021" t="s">
        <v>35</v>
      </c>
      <c r="AG15" s="1017" t="s">
        <v>498</v>
      </c>
      <c r="AH15" s="1021" t="s">
        <v>490</v>
      </c>
      <c r="AI15" s="1021" t="s">
        <v>491</v>
      </c>
      <c r="AJ15" s="1022" t="s">
        <v>492</v>
      </c>
    </row>
    <row r="16" spans="1:36" ht="21" customHeight="1" thickBot="1">
      <c r="A16" s="934"/>
      <c r="B16" s="936" t="s">
        <v>17</v>
      </c>
      <c r="C16" s="936"/>
      <c r="D16" s="936">
        <f>SUM(D6:D11)</f>
        <v>0</v>
      </c>
      <c r="E16" s="936">
        <f aca="true" t="shared" si="0" ref="E16:AE16">SUM(E6:E11)</f>
        <v>0</v>
      </c>
      <c r="F16" s="936">
        <f t="shared" si="0"/>
        <v>0</v>
      </c>
      <c r="G16" s="936">
        <f t="shared" si="0"/>
        <v>4.6</v>
      </c>
      <c r="H16" s="936">
        <f t="shared" si="0"/>
        <v>0</v>
      </c>
      <c r="I16" s="936">
        <f t="shared" si="0"/>
        <v>0</v>
      </c>
      <c r="J16" s="936">
        <f t="shared" si="0"/>
        <v>0</v>
      </c>
      <c r="K16" s="936">
        <f t="shared" si="0"/>
        <v>0</v>
      </c>
      <c r="L16" s="936">
        <f t="shared" si="0"/>
        <v>0</v>
      </c>
      <c r="M16" s="936">
        <f t="shared" si="0"/>
        <v>0</v>
      </c>
      <c r="N16" s="936">
        <f t="shared" si="0"/>
        <v>42</v>
      </c>
      <c r="O16" s="936">
        <f t="shared" si="0"/>
        <v>2.1</v>
      </c>
      <c r="P16" s="936">
        <f t="shared" si="0"/>
        <v>0</v>
      </c>
      <c r="Q16" s="936">
        <f t="shared" si="0"/>
        <v>0</v>
      </c>
      <c r="R16" s="936">
        <f t="shared" si="0"/>
        <v>0</v>
      </c>
      <c r="S16" s="936">
        <f t="shared" si="0"/>
        <v>0</v>
      </c>
      <c r="T16" s="936">
        <f t="shared" si="0"/>
        <v>0</v>
      </c>
      <c r="U16" s="936">
        <f t="shared" si="0"/>
        <v>0</v>
      </c>
      <c r="V16" s="936">
        <f t="shared" si="0"/>
        <v>4460</v>
      </c>
      <c r="W16" s="936">
        <f t="shared" si="0"/>
        <v>92.39</v>
      </c>
      <c r="X16" s="936">
        <f t="shared" si="0"/>
        <v>0</v>
      </c>
      <c r="Y16" s="936">
        <f t="shared" si="0"/>
        <v>0</v>
      </c>
      <c r="Z16" s="936">
        <f t="shared" si="0"/>
        <v>0</v>
      </c>
      <c r="AA16" s="936">
        <f t="shared" si="0"/>
        <v>0</v>
      </c>
      <c r="AB16" s="936">
        <f t="shared" si="0"/>
        <v>0</v>
      </c>
      <c r="AC16" s="936">
        <f t="shared" si="0"/>
        <v>0</v>
      </c>
      <c r="AD16" s="936">
        <f t="shared" si="0"/>
        <v>0</v>
      </c>
      <c r="AE16" s="936">
        <f t="shared" si="0"/>
        <v>4.6</v>
      </c>
      <c r="AF16" s="937"/>
      <c r="AG16" s="937"/>
      <c r="AH16" s="937"/>
      <c r="AI16" s="938"/>
      <c r="AJ16" s="1025"/>
    </row>
    <row r="17" ht="21.75" customHeight="1">
      <c r="AF17" s="1006"/>
    </row>
    <row r="18" ht="21.75" customHeight="1">
      <c r="AF18" s="1006"/>
    </row>
    <row r="19" ht="21.75" customHeight="1">
      <c r="AF19" s="1006"/>
    </row>
    <row r="20" ht="21.75" customHeight="1">
      <c r="AF20" s="1007"/>
    </row>
    <row r="21" ht="21.75" customHeight="1">
      <c r="AF21" s="1006"/>
    </row>
    <row r="22" ht="21.75" customHeight="1">
      <c r="AF22" s="254"/>
    </row>
  </sheetData>
  <sheetProtection/>
  <mergeCells count="31">
    <mergeCell ref="AG4:AG5"/>
    <mergeCell ref="AH4:AH5"/>
    <mergeCell ref="AI4:AI5"/>
    <mergeCell ref="AJ4:AJ5"/>
    <mergeCell ref="V4:W4"/>
    <mergeCell ref="X4:Y4"/>
    <mergeCell ref="Z4:AA4"/>
    <mergeCell ref="AB4:AC4"/>
    <mergeCell ref="AD4:AE4"/>
    <mergeCell ref="AF4:AF5"/>
    <mergeCell ref="J4:K4"/>
    <mergeCell ref="L4:M4"/>
    <mergeCell ref="N4:O4"/>
    <mergeCell ref="P4:Q4"/>
    <mergeCell ref="R4:S4"/>
    <mergeCell ref="T4:U4"/>
    <mergeCell ref="A4:A5"/>
    <mergeCell ref="B4:B5"/>
    <mergeCell ref="C4:C5"/>
    <mergeCell ref="D4:E4"/>
    <mergeCell ref="F4:G4"/>
    <mergeCell ref="H4:I4"/>
    <mergeCell ref="A1:AJ1"/>
    <mergeCell ref="A2:AJ2"/>
    <mergeCell ref="D3:G3"/>
    <mergeCell ref="H3:K3"/>
    <mergeCell ref="L3:O3"/>
    <mergeCell ref="P3:S3"/>
    <mergeCell ref="T3:W3"/>
    <mergeCell ref="X3:AA3"/>
    <mergeCell ref="AB3:A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1"/>
  <sheetViews>
    <sheetView zoomScale="70" zoomScaleNormal="70" zoomScalePageLayoutView="0" workbookViewId="0" topLeftCell="A1">
      <pane xSplit="3" ySplit="5" topLeftCell="D2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7.25" customHeight="1"/>
  <cols>
    <col min="1" max="1" width="12.421875" style="598" customWidth="1"/>
    <col min="2" max="2" width="39.57421875" style="598" customWidth="1"/>
    <col min="3" max="3" width="24.140625" style="598" customWidth="1"/>
    <col min="4" max="6" width="6.28125" style="598" customWidth="1"/>
    <col min="7" max="7" width="8.00390625" style="598" customWidth="1"/>
    <col min="8" max="9" width="6.28125" style="598" customWidth="1"/>
    <col min="10" max="10" width="7.140625" style="598" customWidth="1"/>
    <col min="11" max="30" width="6.28125" style="598" customWidth="1"/>
    <col min="31" max="31" width="8.28125" style="598" customWidth="1"/>
    <col min="32" max="32" width="11.421875" style="598" customWidth="1"/>
    <col min="33" max="33" width="20.00390625" style="598" customWidth="1"/>
    <col min="34" max="34" width="25.140625" style="598" customWidth="1"/>
    <col min="35" max="35" width="11.57421875" style="598" customWidth="1"/>
    <col min="36" max="36" width="45.57421875" style="598" customWidth="1"/>
    <col min="37" max="37" width="9.140625" style="598" customWidth="1"/>
    <col min="38" max="16384" width="9.140625" style="254" customWidth="1"/>
  </cols>
  <sheetData>
    <row r="1" spans="1:36" ht="24.75" customHeight="1" thickBot="1">
      <c r="A1" s="1110" t="s">
        <v>18</v>
      </c>
      <c r="B1" s="1111"/>
      <c r="C1" s="1111"/>
      <c r="D1" s="1111"/>
      <c r="E1" s="1111"/>
      <c r="F1" s="1111"/>
      <c r="G1" s="1111"/>
      <c r="H1" s="1111"/>
      <c r="I1" s="1111"/>
      <c r="J1" s="1111"/>
      <c r="K1" s="1111"/>
      <c r="L1" s="1111"/>
      <c r="M1" s="1111"/>
      <c r="N1" s="1111"/>
      <c r="O1" s="1111"/>
      <c r="P1" s="1111"/>
      <c r="Q1" s="1111"/>
      <c r="R1" s="1111"/>
      <c r="S1" s="1111"/>
      <c r="T1" s="1111"/>
      <c r="U1" s="1111"/>
      <c r="V1" s="1111"/>
      <c r="W1" s="1111"/>
      <c r="X1" s="1111"/>
      <c r="Y1" s="1111"/>
      <c r="Z1" s="1111"/>
      <c r="AA1" s="1111"/>
      <c r="AB1" s="1111"/>
      <c r="AC1" s="1111"/>
      <c r="AD1" s="1111"/>
      <c r="AE1" s="1111"/>
      <c r="AF1" s="1111"/>
      <c r="AG1" s="1111"/>
      <c r="AH1" s="1111"/>
      <c r="AI1" s="1111"/>
      <c r="AJ1" s="1111"/>
    </row>
    <row r="2" spans="1:36" ht="17.25" customHeight="1" thickBot="1">
      <c r="A2" s="1112" t="s">
        <v>550</v>
      </c>
      <c r="B2" s="1113"/>
      <c r="C2" s="1113"/>
      <c r="D2" s="1113"/>
      <c r="E2" s="1113"/>
      <c r="F2" s="1113"/>
      <c r="G2" s="1113"/>
      <c r="H2" s="1113"/>
      <c r="I2" s="1113"/>
      <c r="J2" s="1113"/>
      <c r="K2" s="1113"/>
      <c r="L2" s="1113"/>
      <c r="M2" s="1113"/>
      <c r="N2" s="1113"/>
      <c r="O2" s="1113"/>
      <c r="P2" s="1113"/>
      <c r="Q2" s="1113"/>
      <c r="R2" s="1113"/>
      <c r="S2" s="1113"/>
      <c r="T2" s="1113"/>
      <c r="U2" s="1113"/>
      <c r="V2" s="1113"/>
      <c r="W2" s="1113"/>
      <c r="X2" s="1113"/>
      <c r="Y2" s="1113"/>
      <c r="Z2" s="1113"/>
      <c r="AA2" s="1113"/>
      <c r="AB2" s="1113"/>
      <c r="AC2" s="1113"/>
      <c r="AD2" s="1113"/>
      <c r="AE2" s="1113"/>
      <c r="AF2" s="1113"/>
      <c r="AG2" s="1113"/>
      <c r="AH2" s="1113"/>
      <c r="AI2" s="1113"/>
      <c r="AJ2" s="1113"/>
    </row>
    <row r="3" spans="1:36" ht="18.75" customHeight="1" thickBot="1">
      <c r="A3" s="1114"/>
      <c r="B3" s="1115"/>
      <c r="C3" s="1116"/>
      <c r="D3" s="1114" t="s">
        <v>1073</v>
      </c>
      <c r="E3" s="1115"/>
      <c r="F3" s="1115"/>
      <c r="G3" s="1116"/>
      <c r="H3" s="1114" t="s">
        <v>1074</v>
      </c>
      <c r="I3" s="1115"/>
      <c r="J3" s="1115"/>
      <c r="K3" s="1116"/>
      <c r="L3" s="1114" t="s">
        <v>1075</v>
      </c>
      <c r="M3" s="1115"/>
      <c r="N3" s="1115"/>
      <c r="O3" s="1116"/>
      <c r="P3" s="1114" t="s">
        <v>1076</v>
      </c>
      <c r="Q3" s="1115"/>
      <c r="R3" s="1115"/>
      <c r="S3" s="1116"/>
      <c r="T3" s="1114" t="s">
        <v>1077</v>
      </c>
      <c r="U3" s="1115"/>
      <c r="V3" s="1115"/>
      <c r="W3" s="1116"/>
      <c r="X3" s="1114" t="s">
        <v>1078</v>
      </c>
      <c r="Y3" s="1115"/>
      <c r="Z3" s="1115"/>
      <c r="AA3" s="1116"/>
      <c r="AB3" s="1114" t="s">
        <v>1079</v>
      </c>
      <c r="AC3" s="1115"/>
      <c r="AD3" s="1115"/>
      <c r="AE3" s="1116"/>
      <c r="AF3" s="1114"/>
      <c r="AG3" s="1115"/>
      <c r="AH3" s="1115"/>
      <c r="AI3" s="1115"/>
      <c r="AJ3" s="1115"/>
    </row>
    <row r="4" spans="1:36" ht="15" customHeight="1">
      <c r="A4" s="1049" t="s">
        <v>116</v>
      </c>
      <c r="B4" s="1051" t="s">
        <v>19</v>
      </c>
      <c r="C4" s="1051" t="s">
        <v>20</v>
      </c>
      <c r="D4" s="1117" t="s">
        <v>112</v>
      </c>
      <c r="E4" s="1117"/>
      <c r="F4" s="1117" t="s">
        <v>113</v>
      </c>
      <c r="G4" s="1117"/>
      <c r="H4" s="1117" t="s">
        <v>112</v>
      </c>
      <c r="I4" s="1117"/>
      <c r="J4" s="1117" t="s">
        <v>113</v>
      </c>
      <c r="K4" s="1117"/>
      <c r="L4" s="1117" t="s">
        <v>112</v>
      </c>
      <c r="M4" s="1117"/>
      <c r="N4" s="1117" t="s">
        <v>113</v>
      </c>
      <c r="O4" s="1117"/>
      <c r="P4" s="1117" t="s">
        <v>112</v>
      </c>
      <c r="Q4" s="1117"/>
      <c r="R4" s="1117" t="s">
        <v>113</v>
      </c>
      <c r="S4" s="1117"/>
      <c r="T4" s="1117" t="s">
        <v>112</v>
      </c>
      <c r="U4" s="1117"/>
      <c r="V4" s="1117" t="s">
        <v>113</v>
      </c>
      <c r="W4" s="1117"/>
      <c r="X4" s="1117" t="s">
        <v>112</v>
      </c>
      <c r="Y4" s="1117"/>
      <c r="Z4" s="1117" t="s">
        <v>113</v>
      </c>
      <c r="AA4" s="1117"/>
      <c r="AB4" s="1117" t="s">
        <v>112</v>
      </c>
      <c r="AC4" s="1117"/>
      <c r="AD4" s="1117" t="s">
        <v>113</v>
      </c>
      <c r="AE4" s="1117"/>
      <c r="AF4" s="1117" t="s">
        <v>4</v>
      </c>
      <c r="AG4" s="1117" t="s">
        <v>855</v>
      </c>
      <c r="AH4" s="1117" t="s">
        <v>21</v>
      </c>
      <c r="AI4" s="1119" t="s">
        <v>83</v>
      </c>
      <c r="AJ4" s="1121" t="s">
        <v>84</v>
      </c>
    </row>
    <row r="5" spans="1:36" ht="93" customHeight="1" thickBot="1">
      <c r="A5" s="1050"/>
      <c r="B5" s="1052"/>
      <c r="C5" s="1052"/>
      <c r="D5" s="25" t="s">
        <v>6</v>
      </c>
      <c r="E5" s="25" t="s">
        <v>7</v>
      </c>
      <c r="F5" s="25" t="s">
        <v>6</v>
      </c>
      <c r="G5" s="25" t="s">
        <v>96</v>
      </c>
      <c r="H5" s="25" t="s">
        <v>6</v>
      </c>
      <c r="I5" s="25" t="s">
        <v>7</v>
      </c>
      <c r="J5" s="25" t="s">
        <v>6</v>
      </c>
      <c r="K5" s="25" t="s">
        <v>96</v>
      </c>
      <c r="L5" s="25" t="s">
        <v>6</v>
      </c>
      <c r="M5" s="25" t="s">
        <v>7</v>
      </c>
      <c r="N5" s="25" t="s">
        <v>6</v>
      </c>
      <c r="O5" s="25" t="s">
        <v>96</v>
      </c>
      <c r="P5" s="25" t="s">
        <v>6</v>
      </c>
      <c r="Q5" s="25" t="s">
        <v>7</v>
      </c>
      <c r="R5" s="25" t="s">
        <v>6</v>
      </c>
      <c r="S5" s="25" t="s">
        <v>96</v>
      </c>
      <c r="T5" s="25" t="s">
        <v>6</v>
      </c>
      <c r="U5" s="25" t="s">
        <v>7</v>
      </c>
      <c r="V5" s="25" t="s">
        <v>6</v>
      </c>
      <c r="W5" s="25" t="s">
        <v>96</v>
      </c>
      <c r="X5" s="25" t="s">
        <v>6</v>
      </c>
      <c r="Y5" s="25" t="s">
        <v>7</v>
      </c>
      <c r="Z5" s="25" t="s">
        <v>6</v>
      </c>
      <c r="AA5" s="25" t="s">
        <v>96</v>
      </c>
      <c r="AB5" s="25" t="s">
        <v>6</v>
      </c>
      <c r="AC5" s="25" t="s">
        <v>7</v>
      </c>
      <c r="AD5" s="25" t="s">
        <v>6</v>
      </c>
      <c r="AE5" s="25" t="s">
        <v>96</v>
      </c>
      <c r="AF5" s="1118"/>
      <c r="AG5" s="1118"/>
      <c r="AH5" s="1118"/>
      <c r="AI5" s="1120"/>
      <c r="AJ5" s="1122"/>
    </row>
    <row r="6" spans="1:36" ht="15.75">
      <c r="A6" s="599" t="s">
        <v>857</v>
      </c>
      <c r="B6" s="600" t="s">
        <v>999</v>
      </c>
      <c r="C6" s="195" t="s">
        <v>675</v>
      </c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123" t="s">
        <v>1080</v>
      </c>
      <c r="O6" s="1124"/>
      <c r="P6" s="555"/>
      <c r="Q6" s="555"/>
      <c r="R6" s="555"/>
      <c r="S6" s="555"/>
      <c r="T6" s="555"/>
      <c r="U6" s="555"/>
      <c r="V6" s="555"/>
      <c r="W6" s="555"/>
      <c r="X6" s="195"/>
      <c r="Y6" s="195"/>
      <c r="Z6" s="195"/>
      <c r="AA6" s="195"/>
      <c r="AB6" s="556">
        <v>1</v>
      </c>
      <c r="AC6" s="557">
        <v>0</v>
      </c>
      <c r="AD6" s="558">
        <v>0</v>
      </c>
      <c r="AE6" s="559">
        <v>0</v>
      </c>
      <c r="AF6" s="411" t="s">
        <v>45</v>
      </c>
      <c r="AG6" s="410">
        <v>1</v>
      </c>
      <c r="AH6" s="560" t="s">
        <v>686</v>
      </c>
      <c r="AI6" s="560" t="s">
        <v>306</v>
      </c>
      <c r="AJ6" s="560" t="s">
        <v>306</v>
      </c>
    </row>
    <row r="7" spans="1:36" ht="15.75">
      <c r="A7" s="601" t="s">
        <v>1000</v>
      </c>
      <c r="B7" s="1125" t="s">
        <v>1001</v>
      </c>
      <c r="C7" s="195" t="s">
        <v>675</v>
      </c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561">
        <v>1</v>
      </c>
      <c r="AC7" s="557">
        <v>0</v>
      </c>
      <c r="AD7" s="558">
        <v>0</v>
      </c>
      <c r="AE7" s="562">
        <v>0</v>
      </c>
      <c r="AF7" s="145" t="s">
        <v>1002</v>
      </c>
      <c r="AG7" s="410">
        <v>30</v>
      </c>
      <c r="AH7" s="560" t="s">
        <v>686</v>
      </c>
      <c r="AI7" s="560"/>
      <c r="AJ7" s="560" t="s">
        <v>306</v>
      </c>
    </row>
    <row r="8" spans="1:36" ht="16.5" thickBot="1">
      <c r="A8" s="602" t="s">
        <v>680</v>
      </c>
      <c r="B8" s="1126" t="s">
        <v>29</v>
      </c>
      <c r="C8" s="145" t="s">
        <v>675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145">
        <v>50</v>
      </c>
      <c r="Q8" s="5">
        <v>0</v>
      </c>
      <c r="R8" s="145">
        <v>0</v>
      </c>
      <c r="S8" s="145">
        <v>0</v>
      </c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563" t="s">
        <v>524</v>
      </c>
      <c r="AG8" s="145"/>
      <c r="AH8" s="145" t="s">
        <v>280</v>
      </c>
      <c r="AI8" s="145" t="s">
        <v>306</v>
      </c>
      <c r="AJ8" s="145" t="s">
        <v>306</v>
      </c>
    </row>
    <row r="9" spans="1:36" ht="15.75">
      <c r="A9" s="600" t="s">
        <v>673</v>
      </c>
      <c r="B9" s="600" t="s">
        <v>674</v>
      </c>
      <c r="C9" s="195" t="s">
        <v>675</v>
      </c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45">
        <v>24</v>
      </c>
      <c r="Q9" s="145">
        <v>0</v>
      </c>
      <c r="R9" s="145">
        <v>0</v>
      </c>
      <c r="S9" s="145">
        <v>0</v>
      </c>
      <c r="T9" s="195"/>
      <c r="U9" s="195"/>
      <c r="V9" s="195"/>
      <c r="W9" s="195"/>
      <c r="X9" s="195"/>
      <c r="Y9" s="195"/>
      <c r="Z9" s="195"/>
      <c r="AA9" s="195"/>
      <c r="AB9" s="561">
        <v>2</v>
      </c>
      <c r="AC9" s="557">
        <v>0</v>
      </c>
      <c r="AD9" s="558">
        <v>0</v>
      </c>
      <c r="AE9" s="562">
        <v>0</v>
      </c>
      <c r="AF9" s="42" t="s">
        <v>677</v>
      </c>
      <c r="AG9" s="564" t="s">
        <v>1003</v>
      </c>
      <c r="AH9" s="563" t="s">
        <v>678</v>
      </c>
      <c r="AI9" s="565" t="s">
        <v>306</v>
      </c>
      <c r="AJ9" s="565" t="s">
        <v>306</v>
      </c>
    </row>
    <row r="10" spans="1:36" ht="15.75">
      <c r="A10" s="600" t="s">
        <v>121</v>
      </c>
      <c r="B10" s="600" t="s">
        <v>1081</v>
      </c>
      <c r="C10" s="600" t="s">
        <v>1082</v>
      </c>
      <c r="D10" s="600"/>
      <c r="E10" s="600"/>
      <c r="F10" s="600">
        <v>3</v>
      </c>
      <c r="G10" s="600">
        <v>10.9</v>
      </c>
      <c r="H10" s="195"/>
      <c r="I10" s="195"/>
      <c r="J10" s="195"/>
      <c r="K10" s="195"/>
      <c r="L10" s="195"/>
      <c r="M10" s="195"/>
      <c r="N10" s="195"/>
      <c r="O10" s="195"/>
      <c r="P10" s="145"/>
      <c r="Q10" s="145"/>
      <c r="R10" s="145"/>
      <c r="S10" s="145"/>
      <c r="T10" s="195"/>
      <c r="U10" s="195"/>
      <c r="V10" s="195"/>
      <c r="W10" s="195"/>
      <c r="X10" s="195"/>
      <c r="Y10" s="195"/>
      <c r="Z10" s="195"/>
      <c r="AA10" s="195"/>
      <c r="AB10" s="561"/>
      <c r="AC10" s="557"/>
      <c r="AD10" s="558"/>
      <c r="AE10" s="562"/>
      <c r="AF10" s="2" t="s">
        <v>9</v>
      </c>
      <c r="AG10" s="564"/>
      <c r="AH10" s="563" t="s">
        <v>678</v>
      </c>
      <c r="AI10" s="2" t="s">
        <v>306</v>
      </c>
      <c r="AJ10" s="565" t="s">
        <v>306</v>
      </c>
    </row>
    <row r="11" spans="1:37" ht="94.5">
      <c r="A11" s="603" t="s">
        <v>774</v>
      </c>
      <c r="B11" s="151" t="s">
        <v>1004</v>
      </c>
      <c r="C11" s="5" t="s">
        <v>893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8">
        <v>1</v>
      </c>
      <c r="Y11" s="68">
        <v>0</v>
      </c>
      <c r="Z11" s="68">
        <v>15</v>
      </c>
      <c r="AA11" s="68">
        <v>0.87</v>
      </c>
      <c r="AB11" s="556">
        <v>6</v>
      </c>
      <c r="AC11" s="557">
        <v>0</v>
      </c>
      <c r="AD11" s="557">
        <v>30</v>
      </c>
      <c r="AE11" s="557">
        <v>0</v>
      </c>
      <c r="AF11" s="257" t="s">
        <v>81</v>
      </c>
      <c r="AG11" s="257">
        <v>16</v>
      </c>
      <c r="AH11" s="563" t="s">
        <v>678</v>
      </c>
      <c r="AI11" s="563" t="s">
        <v>548</v>
      </c>
      <c r="AJ11" s="563" t="s">
        <v>776</v>
      </c>
      <c r="AK11" s="604"/>
    </row>
    <row r="12" spans="1:37" s="256" customFormat="1" ht="36" customHeight="1">
      <c r="A12" s="605" t="s">
        <v>133</v>
      </c>
      <c r="B12" s="151" t="s">
        <v>25</v>
      </c>
      <c r="C12" s="1127"/>
      <c r="D12" s="92">
        <v>30</v>
      </c>
      <c r="E12" s="2">
        <v>0</v>
      </c>
      <c r="F12" s="92">
        <v>30</v>
      </c>
      <c r="G12" s="9">
        <v>9</v>
      </c>
      <c r="H12" s="567">
        <v>24</v>
      </c>
      <c r="I12" s="567">
        <v>24</v>
      </c>
      <c r="J12" s="568">
        <v>24</v>
      </c>
      <c r="K12" s="569">
        <v>4.69</v>
      </c>
      <c r="L12" s="5"/>
      <c r="M12" s="5"/>
      <c r="N12" s="1128" t="s">
        <v>1080</v>
      </c>
      <c r="O12" s="1128"/>
      <c r="P12" s="145">
        <v>10</v>
      </c>
      <c r="Q12" s="145">
        <v>2</v>
      </c>
      <c r="R12" s="145">
        <v>8</v>
      </c>
      <c r="S12" s="145">
        <v>6.1</v>
      </c>
      <c r="T12" s="570">
        <v>10</v>
      </c>
      <c r="U12" s="570">
        <v>0</v>
      </c>
      <c r="V12" s="570">
        <v>10</v>
      </c>
      <c r="W12" s="217">
        <v>2.77</v>
      </c>
      <c r="X12" s="68">
        <v>25</v>
      </c>
      <c r="Y12" s="68">
        <v>19</v>
      </c>
      <c r="Z12" s="68">
        <v>36</v>
      </c>
      <c r="AA12" s="79">
        <v>1.2</v>
      </c>
      <c r="AB12" s="557">
        <v>65</v>
      </c>
      <c r="AC12" s="557">
        <v>17</v>
      </c>
      <c r="AD12" s="557">
        <v>65</v>
      </c>
      <c r="AE12" s="557">
        <v>11.84</v>
      </c>
      <c r="AF12" s="42" t="s">
        <v>269</v>
      </c>
      <c r="AG12" s="42" t="s">
        <v>931</v>
      </c>
      <c r="AH12" s="145" t="s">
        <v>149</v>
      </c>
      <c r="AI12" s="145" t="s">
        <v>306</v>
      </c>
      <c r="AJ12" s="145" t="s">
        <v>268</v>
      </c>
      <c r="AK12" s="606"/>
    </row>
    <row r="13" spans="1:37" s="256" customFormat="1" ht="30">
      <c r="A13" s="607" t="s">
        <v>128</v>
      </c>
      <c r="B13" s="151" t="s">
        <v>24</v>
      </c>
      <c r="C13" s="1127"/>
      <c r="D13" s="92">
        <v>12</v>
      </c>
      <c r="E13" s="2">
        <v>0</v>
      </c>
      <c r="F13" s="92">
        <v>6</v>
      </c>
      <c r="G13" s="9">
        <v>12</v>
      </c>
      <c r="H13" s="567">
        <v>2</v>
      </c>
      <c r="I13" s="571">
        <v>6</v>
      </c>
      <c r="J13" s="5">
        <v>4</v>
      </c>
      <c r="K13" s="571">
        <v>8.34</v>
      </c>
      <c r="L13" s="144"/>
      <c r="M13" s="144"/>
      <c r="N13" s="1128" t="s">
        <v>1080</v>
      </c>
      <c r="O13" s="1128"/>
      <c r="P13" s="150">
        <v>1</v>
      </c>
      <c r="Q13" s="150">
        <v>0</v>
      </c>
      <c r="R13" s="150">
        <v>1</v>
      </c>
      <c r="S13" s="150">
        <v>10.16</v>
      </c>
      <c r="T13" s="570">
        <v>4</v>
      </c>
      <c r="U13" s="570">
        <v>0</v>
      </c>
      <c r="V13" s="570">
        <v>4</v>
      </c>
      <c r="W13" s="217">
        <v>8</v>
      </c>
      <c r="X13" s="68">
        <v>1</v>
      </c>
      <c r="Y13" s="141"/>
      <c r="Z13" s="141"/>
      <c r="AA13" s="141"/>
      <c r="AB13" s="557">
        <v>2</v>
      </c>
      <c r="AC13" s="557">
        <v>0</v>
      </c>
      <c r="AD13" s="557">
        <v>0</v>
      </c>
      <c r="AE13" s="557">
        <v>0</v>
      </c>
      <c r="AF13" s="42" t="s">
        <v>270</v>
      </c>
      <c r="AG13" s="42" t="s">
        <v>1083</v>
      </c>
      <c r="AH13" s="145" t="s">
        <v>149</v>
      </c>
      <c r="AI13" s="145" t="s">
        <v>306</v>
      </c>
      <c r="AJ13" s="145" t="s">
        <v>100</v>
      </c>
      <c r="AK13" s="606"/>
    </row>
    <row r="14" spans="1:37" s="256" customFormat="1" ht="31.5">
      <c r="A14" s="607" t="s">
        <v>129</v>
      </c>
      <c r="B14" s="151" t="s">
        <v>26</v>
      </c>
      <c r="C14" s="1127"/>
      <c r="D14" s="92">
        <v>10</v>
      </c>
      <c r="E14" s="2">
        <v>0</v>
      </c>
      <c r="F14" s="92">
        <v>6</v>
      </c>
      <c r="G14" s="9">
        <v>12</v>
      </c>
      <c r="H14" s="68"/>
      <c r="I14" s="68"/>
      <c r="J14" s="5"/>
      <c r="K14" s="68"/>
      <c r="L14" s="68"/>
      <c r="M14" s="68"/>
      <c r="N14" s="1128" t="s">
        <v>1080</v>
      </c>
      <c r="O14" s="1128"/>
      <c r="P14" s="145">
        <v>2</v>
      </c>
      <c r="Q14" s="145">
        <v>0</v>
      </c>
      <c r="R14" s="145">
        <v>2</v>
      </c>
      <c r="S14" s="145">
        <v>22.65</v>
      </c>
      <c r="T14" s="570">
        <v>4</v>
      </c>
      <c r="U14" s="570">
        <v>0</v>
      </c>
      <c r="V14" s="570">
        <v>4</v>
      </c>
      <c r="W14" s="217">
        <v>8</v>
      </c>
      <c r="X14" s="68"/>
      <c r="Y14" s="68"/>
      <c r="Z14" s="68"/>
      <c r="AA14" s="68"/>
      <c r="AB14" s="557">
        <v>2</v>
      </c>
      <c r="AC14" s="557">
        <v>0</v>
      </c>
      <c r="AD14" s="557">
        <v>0</v>
      </c>
      <c r="AE14" s="557">
        <v>0</v>
      </c>
      <c r="AF14" s="145" t="s">
        <v>271</v>
      </c>
      <c r="AG14" s="42" t="s">
        <v>1084</v>
      </c>
      <c r="AH14" s="145" t="s">
        <v>272</v>
      </c>
      <c r="AI14" s="145" t="s">
        <v>306</v>
      </c>
      <c r="AJ14" s="145" t="s">
        <v>273</v>
      </c>
      <c r="AK14" s="606"/>
    </row>
    <row r="15" spans="1:37" s="256" customFormat="1" ht="15.75">
      <c r="A15" s="607" t="s">
        <v>131</v>
      </c>
      <c r="B15" s="151" t="s">
        <v>29</v>
      </c>
      <c r="C15" s="1127"/>
      <c r="D15" s="419"/>
      <c r="E15" s="419"/>
      <c r="F15" s="419"/>
      <c r="G15" s="419"/>
      <c r="H15" s="567">
        <v>60</v>
      </c>
      <c r="I15" s="567">
        <v>58</v>
      </c>
      <c r="J15" s="5">
        <v>75</v>
      </c>
      <c r="K15" s="569">
        <v>2.27</v>
      </c>
      <c r="L15" s="419"/>
      <c r="M15" s="419"/>
      <c r="N15" s="145"/>
      <c r="O15" s="145"/>
      <c r="P15" s="145"/>
      <c r="Q15" s="145"/>
      <c r="R15" s="145"/>
      <c r="S15" s="145"/>
      <c r="T15" s="570">
        <v>21</v>
      </c>
      <c r="U15" s="570">
        <v>0</v>
      </c>
      <c r="V15" s="570">
        <v>21</v>
      </c>
      <c r="W15" s="217">
        <v>1.76</v>
      </c>
      <c r="X15" s="68">
        <v>52</v>
      </c>
      <c r="Y15" s="68">
        <v>1</v>
      </c>
      <c r="Z15" s="68">
        <v>60</v>
      </c>
      <c r="AA15" s="79">
        <v>0.6</v>
      </c>
      <c r="AB15" s="557">
        <v>100</v>
      </c>
      <c r="AC15" s="557">
        <v>71</v>
      </c>
      <c r="AD15" s="557">
        <v>120</v>
      </c>
      <c r="AE15" s="557">
        <v>4.79</v>
      </c>
      <c r="AF15" s="145" t="s">
        <v>23</v>
      </c>
      <c r="AG15" s="145" t="s">
        <v>49</v>
      </c>
      <c r="AH15" s="145" t="s">
        <v>150</v>
      </c>
      <c r="AI15" s="145" t="s">
        <v>306</v>
      </c>
      <c r="AJ15" s="145" t="s">
        <v>275</v>
      </c>
      <c r="AK15" s="606"/>
    </row>
    <row r="16" spans="1:37" s="256" customFormat="1" ht="60">
      <c r="A16" s="607" t="s">
        <v>130</v>
      </c>
      <c r="B16" s="151" t="s">
        <v>27</v>
      </c>
      <c r="C16" s="1127"/>
      <c r="D16" s="68"/>
      <c r="E16" s="68"/>
      <c r="F16" s="68"/>
      <c r="G16" s="68"/>
      <c r="H16" s="567">
        <v>20</v>
      </c>
      <c r="I16" s="567">
        <v>20</v>
      </c>
      <c r="J16" s="5">
        <v>24</v>
      </c>
      <c r="K16" s="569">
        <v>6.28</v>
      </c>
      <c r="L16" s="68"/>
      <c r="M16" s="68"/>
      <c r="N16" s="1128" t="s">
        <v>1080</v>
      </c>
      <c r="O16" s="1128"/>
      <c r="P16" s="145">
        <v>10</v>
      </c>
      <c r="Q16" s="5">
        <v>2</v>
      </c>
      <c r="R16" s="145">
        <v>8</v>
      </c>
      <c r="S16" s="145">
        <v>5.78</v>
      </c>
      <c r="T16" s="570">
        <v>6</v>
      </c>
      <c r="U16" s="570">
        <v>0</v>
      </c>
      <c r="V16" s="570">
        <v>6</v>
      </c>
      <c r="W16" s="217">
        <v>3.16</v>
      </c>
      <c r="X16" s="5">
        <v>45</v>
      </c>
      <c r="Y16" s="68">
        <v>10</v>
      </c>
      <c r="Z16" s="5">
        <v>75</v>
      </c>
      <c r="AA16" s="572">
        <v>3</v>
      </c>
      <c r="AB16" s="572"/>
      <c r="AC16" s="572"/>
      <c r="AD16" s="572"/>
      <c r="AE16" s="572"/>
      <c r="AF16" s="145" t="s">
        <v>698</v>
      </c>
      <c r="AG16" s="145">
        <v>2</v>
      </c>
      <c r="AH16" s="145" t="s">
        <v>276</v>
      </c>
      <c r="AI16" s="145" t="s">
        <v>306</v>
      </c>
      <c r="AJ16" s="145" t="s">
        <v>107</v>
      </c>
      <c r="AK16" s="606"/>
    </row>
    <row r="17" spans="1:37" s="256" customFormat="1" ht="15.75">
      <c r="A17" s="607" t="s">
        <v>635</v>
      </c>
      <c r="B17" s="151" t="s">
        <v>636</v>
      </c>
      <c r="C17" s="1127"/>
      <c r="D17" s="92">
        <v>20</v>
      </c>
      <c r="E17" s="127">
        <v>14</v>
      </c>
      <c r="F17" s="92">
        <v>10</v>
      </c>
      <c r="G17" s="9">
        <v>3.16</v>
      </c>
      <c r="H17" s="573">
        <v>90</v>
      </c>
      <c r="I17" s="569">
        <v>78</v>
      </c>
      <c r="J17" s="5">
        <v>90</v>
      </c>
      <c r="K17" s="569">
        <v>1.5</v>
      </c>
      <c r="L17" s="68"/>
      <c r="M17" s="68"/>
      <c r="N17" s="68"/>
      <c r="O17" s="68"/>
      <c r="P17" s="145">
        <v>60</v>
      </c>
      <c r="Q17" s="5">
        <v>0</v>
      </c>
      <c r="R17" s="145">
        <v>60</v>
      </c>
      <c r="S17" s="145">
        <v>5.35</v>
      </c>
      <c r="T17" s="570">
        <v>60</v>
      </c>
      <c r="U17" s="570">
        <v>0</v>
      </c>
      <c r="V17" s="570">
        <v>60</v>
      </c>
      <c r="W17" s="217">
        <v>3.18</v>
      </c>
      <c r="X17" s="68"/>
      <c r="Y17" s="68"/>
      <c r="Z17" s="68"/>
      <c r="AA17" s="68"/>
      <c r="AB17" s="68"/>
      <c r="AC17" s="68"/>
      <c r="AD17" s="68"/>
      <c r="AE17" s="68"/>
      <c r="AF17" s="145" t="s">
        <v>333</v>
      </c>
      <c r="AG17" s="145" t="s">
        <v>49</v>
      </c>
      <c r="AH17" s="145" t="s">
        <v>276</v>
      </c>
      <c r="AI17" s="145" t="s">
        <v>306</v>
      </c>
      <c r="AJ17" s="145" t="s">
        <v>328</v>
      </c>
      <c r="AK17" s="606"/>
    </row>
    <row r="18" spans="1:36" ht="30">
      <c r="A18" s="607" t="s">
        <v>780</v>
      </c>
      <c r="B18" s="96" t="s">
        <v>769</v>
      </c>
      <c r="C18" s="42" t="s">
        <v>781</v>
      </c>
      <c r="D18" s="42"/>
      <c r="E18" s="42"/>
      <c r="F18" s="42"/>
      <c r="G18" s="42"/>
      <c r="H18" s="42"/>
      <c r="I18" s="42"/>
      <c r="J18" s="5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2" t="s">
        <v>1017</v>
      </c>
      <c r="AG18" s="2"/>
      <c r="AH18" s="145" t="s">
        <v>276</v>
      </c>
      <c r="AI18" s="2" t="s">
        <v>306</v>
      </c>
      <c r="AJ18" s="2" t="s">
        <v>1085</v>
      </c>
    </row>
    <row r="19" spans="1:36" ht="30">
      <c r="A19" s="607" t="s">
        <v>139</v>
      </c>
      <c r="B19" s="151" t="s">
        <v>1018</v>
      </c>
      <c r="C19" s="6" t="s">
        <v>1019</v>
      </c>
      <c r="D19" s="92">
        <v>2</v>
      </c>
      <c r="E19" s="608">
        <v>0</v>
      </c>
      <c r="F19" s="92">
        <v>10</v>
      </c>
      <c r="G19" s="2">
        <v>2.1</v>
      </c>
      <c r="H19" s="569"/>
      <c r="I19" s="569"/>
      <c r="J19" s="5">
        <v>90</v>
      </c>
      <c r="K19" s="569">
        <v>2.75</v>
      </c>
      <c r="L19" s="6"/>
      <c r="M19" s="6"/>
      <c r="N19" s="6"/>
      <c r="O19" s="6"/>
      <c r="P19" s="145">
        <v>60</v>
      </c>
      <c r="Q19" s="5">
        <v>24</v>
      </c>
      <c r="R19" s="145">
        <v>150</v>
      </c>
      <c r="S19" s="145">
        <v>5.95</v>
      </c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145" t="s">
        <v>333</v>
      </c>
      <c r="AG19" s="145"/>
      <c r="AH19" s="560" t="s">
        <v>1086</v>
      </c>
      <c r="AI19" s="560" t="s">
        <v>306</v>
      </c>
      <c r="AJ19" s="2" t="s">
        <v>1085</v>
      </c>
    </row>
    <row r="20" spans="1:37" s="256" customFormat="1" ht="30">
      <c r="A20" s="607" t="s">
        <v>121</v>
      </c>
      <c r="B20" s="151" t="s">
        <v>31</v>
      </c>
      <c r="C20" s="33" t="s">
        <v>125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145">
        <v>0</v>
      </c>
      <c r="Q20" s="5">
        <v>0</v>
      </c>
      <c r="R20" s="145">
        <v>5</v>
      </c>
      <c r="S20" s="145">
        <v>4.36</v>
      </c>
      <c r="T20" s="33"/>
      <c r="U20" s="33"/>
      <c r="V20" s="33"/>
      <c r="W20" s="33"/>
      <c r="X20" s="33"/>
      <c r="Y20" s="33"/>
      <c r="Z20" s="33"/>
      <c r="AA20" s="33"/>
      <c r="AB20" s="574">
        <v>8</v>
      </c>
      <c r="AC20" s="557">
        <v>0</v>
      </c>
      <c r="AD20" s="575">
        <v>0</v>
      </c>
      <c r="AE20" s="562">
        <v>0</v>
      </c>
      <c r="AF20" s="145" t="s">
        <v>23</v>
      </c>
      <c r="AG20" s="145">
        <v>20</v>
      </c>
      <c r="AH20" s="560" t="s">
        <v>1086</v>
      </c>
      <c r="AI20" s="145" t="s">
        <v>306</v>
      </c>
      <c r="AJ20" s="609" t="s">
        <v>277</v>
      </c>
      <c r="AK20" s="606"/>
    </row>
    <row r="21" spans="1:37" s="260" customFormat="1" ht="15.75">
      <c r="A21" s="26"/>
      <c r="B21" s="1027" t="s">
        <v>30</v>
      </c>
      <c r="C21" s="1027"/>
      <c r="D21" s="153">
        <f>SUM(D6:D20)</f>
        <v>74</v>
      </c>
      <c r="E21" s="153">
        <f aca="true" t="shared" si="0" ref="E21:AE21">SUM(E6:E20)</f>
        <v>14</v>
      </c>
      <c r="F21" s="153">
        <f t="shared" si="0"/>
        <v>65</v>
      </c>
      <c r="G21" s="153">
        <f t="shared" si="0"/>
        <v>49.160000000000004</v>
      </c>
      <c r="H21" s="153">
        <f t="shared" si="0"/>
        <v>196</v>
      </c>
      <c r="I21" s="153">
        <f t="shared" si="0"/>
        <v>186</v>
      </c>
      <c r="J21" s="153">
        <f t="shared" si="0"/>
        <v>307</v>
      </c>
      <c r="K21" s="153">
        <f t="shared" si="0"/>
        <v>25.830000000000002</v>
      </c>
      <c r="L21" s="153">
        <f t="shared" si="0"/>
        <v>0</v>
      </c>
      <c r="M21" s="153">
        <f t="shared" si="0"/>
        <v>0</v>
      </c>
      <c r="N21" s="153">
        <f t="shared" si="0"/>
        <v>0</v>
      </c>
      <c r="O21" s="153">
        <f t="shared" si="0"/>
        <v>0</v>
      </c>
      <c r="P21" s="153">
        <f t="shared" si="0"/>
        <v>217</v>
      </c>
      <c r="Q21" s="153">
        <f t="shared" si="0"/>
        <v>28</v>
      </c>
      <c r="R21" s="153">
        <f t="shared" si="0"/>
        <v>234</v>
      </c>
      <c r="S21" s="153">
        <f t="shared" si="0"/>
        <v>60.35</v>
      </c>
      <c r="T21" s="153">
        <f t="shared" si="0"/>
        <v>105</v>
      </c>
      <c r="U21" s="153">
        <f t="shared" si="0"/>
        <v>0</v>
      </c>
      <c r="V21" s="153">
        <f t="shared" si="0"/>
        <v>105</v>
      </c>
      <c r="W21" s="153">
        <f t="shared" si="0"/>
        <v>26.87</v>
      </c>
      <c r="X21" s="153">
        <f t="shared" si="0"/>
        <v>124</v>
      </c>
      <c r="Y21" s="153">
        <f t="shared" si="0"/>
        <v>30</v>
      </c>
      <c r="Z21" s="153">
        <f t="shared" si="0"/>
        <v>186</v>
      </c>
      <c r="AA21" s="153">
        <f t="shared" si="0"/>
        <v>5.67</v>
      </c>
      <c r="AB21" s="153">
        <f t="shared" si="0"/>
        <v>187</v>
      </c>
      <c r="AC21" s="153">
        <f t="shared" si="0"/>
        <v>88</v>
      </c>
      <c r="AD21" s="153">
        <f t="shared" si="0"/>
        <v>215</v>
      </c>
      <c r="AE21" s="153">
        <f t="shared" si="0"/>
        <v>16.63</v>
      </c>
      <c r="AF21" s="242"/>
      <c r="AG21" s="242"/>
      <c r="AH21" s="242"/>
      <c r="AI21" s="242"/>
      <c r="AJ21" s="242"/>
      <c r="AK21" s="610"/>
    </row>
    <row r="22" spans="1:37" s="612" customFormat="1" ht="15.75">
      <c r="A22" s="576" t="s">
        <v>553</v>
      </c>
      <c r="B22" s="5" t="s">
        <v>38</v>
      </c>
      <c r="C22" s="6" t="s">
        <v>33</v>
      </c>
      <c r="D22" s="92">
        <v>34</v>
      </c>
      <c r="E22" s="127">
        <v>0</v>
      </c>
      <c r="F22" s="92">
        <v>20</v>
      </c>
      <c r="G22" s="9">
        <v>18.84</v>
      </c>
      <c r="H22" s="91"/>
      <c r="I22" s="91"/>
      <c r="J22" s="91"/>
      <c r="K22" s="91"/>
      <c r="L22" s="91"/>
      <c r="M22" s="91"/>
      <c r="N22" s="91"/>
      <c r="O22" s="91"/>
      <c r="P22" s="145">
        <v>15</v>
      </c>
      <c r="Q22" s="5">
        <v>2</v>
      </c>
      <c r="R22" s="145">
        <v>14</v>
      </c>
      <c r="S22" s="145">
        <v>14.02</v>
      </c>
      <c r="T22" s="91"/>
      <c r="U22" s="91"/>
      <c r="V22" s="91"/>
      <c r="W22" s="91"/>
      <c r="X22" s="68">
        <v>16</v>
      </c>
      <c r="Y22" s="68">
        <v>4</v>
      </c>
      <c r="Z22" s="68">
        <v>18</v>
      </c>
      <c r="AA22" s="79">
        <v>3</v>
      </c>
      <c r="AB22" s="562">
        <v>64</v>
      </c>
      <c r="AC22" s="557">
        <v>32</v>
      </c>
      <c r="AD22" s="562">
        <v>64</v>
      </c>
      <c r="AE22" s="562">
        <v>17.04</v>
      </c>
      <c r="AF22" s="145" t="s">
        <v>561</v>
      </c>
      <c r="AG22" s="145" t="s">
        <v>49</v>
      </c>
      <c r="AH22" s="145" t="s">
        <v>556</v>
      </c>
      <c r="AI22" s="145" t="s">
        <v>555</v>
      </c>
      <c r="AJ22" s="145" t="s">
        <v>554</v>
      </c>
      <c r="AK22" s="611"/>
    </row>
    <row r="23" spans="1:37" s="256" customFormat="1" ht="15.75">
      <c r="A23" s="576" t="s">
        <v>560</v>
      </c>
      <c r="B23" s="33" t="s">
        <v>32</v>
      </c>
      <c r="C23" s="108" t="s">
        <v>559</v>
      </c>
      <c r="D23" s="92">
        <v>34</v>
      </c>
      <c r="E23" s="2">
        <v>0</v>
      </c>
      <c r="F23" s="92">
        <v>20</v>
      </c>
      <c r="G23" s="9">
        <v>18.84</v>
      </c>
      <c r="H23" s="569">
        <v>48</v>
      </c>
      <c r="I23" s="569">
        <v>48</v>
      </c>
      <c r="J23" s="569">
        <v>40</v>
      </c>
      <c r="K23" s="569">
        <v>13.76</v>
      </c>
      <c r="L23" s="613">
        <v>104</v>
      </c>
      <c r="M23" s="614">
        <v>15</v>
      </c>
      <c r="N23" s="615">
        <v>13</v>
      </c>
      <c r="O23" s="615">
        <v>13</v>
      </c>
      <c r="P23" s="615"/>
      <c r="Q23" s="615"/>
      <c r="R23" s="615"/>
      <c r="S23" s="615"/>
      <c r="T23" s="570">
        <v>60</v>
      </c>
      <c r="U23" s="570">
        <v>6</v>
      </c>
      <c r="V23" s="570">
        <v>60</v>
      </c>
      <c r="W23" s="217">
        <v>9.18</v>
      </c>
      <c r="X23" s="68">
        <v>136</v>
      </c>
      <c r="Y23" s="145">
        <v>4</v>
      </c>
      <c r="Z23" s="68">
        <v>16</v>
      </c>
      <c r="AA23" s="79">
        <v>2</v>
      </c>
      <c r="AB23" s="562">
        <v>0</v>
      </c>
      <c r="AC23" s="557">
        <v>0</v>
      </c>
      <c r="AD23" s="562">
        <v>64</v>
      </c>
      <c r="AE23" s="578">
        <v>17.04</v>
      </c>
      <c r="AF23" s="145" t="s">
        <v>561</v>
      </c>
      <c r="AG23" s="257">
        <v>25</v>
      </c>
      <c r="AH23" s="145" t="s">
        <v>556</v>
      </c>
      <c r="AI23" s="145" t="s">
        <v>555</v>
      </c>
      <c r="AJ23" s="145" t="s">
        <v>554</v>
      </c>
      <c r="AK23" s="606"/>
    </row>
    <row r="24" spans="1:36" ht="15.75">
      <c r="A24" s="93" t="s">
        <v>337</v>
      </c>
      <c r="B24" s="151" t="s">
        <v>40</v>
      </c>
      <c r="C24" s="5"/>
      <c r="D24" s="5"/>
      <c r="E24" s="5"/>
      <c r="F24" s="5"/>
      <c r="G24" s="5"/>
      <c r="H24" s="5"/>
      <c r="I24" s="5"/>
      <c r="J24" s="569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145" t="s">
        <v>12</v>
      </c>
      <c r="AG24" s="257">
        <v>24</v>
      </c>
      <c r="AH24" s="145" t="s">
        <v>280</v>
      </c>
      <c r="AI24" s="145" t="s">
        <v>306</v>
      </c>
      <c r="AJ24" s="145" t="s">
        <v>1087</v>
      </c>
    </row>
    <row r="25" spans="1:36" ht="15.75">
      <c r="A25" s="602" t="s">
        <v>132</v>
      </c>
      <c r="B25" s="151" t="s">
        <v>29</v>
      </c>
      <c r="C25" s="145" t="s">
        <v>1088</v>
      </c>
      <c r="D25" s="91"/>
      <c r="E25" s="91"/>
      <c r="F25" s="91"/>
      <c r="G25" s="91"/>
      <c r="H25" s="579"/>
      <c r="I25" s="579"/>
      <c r="J25" s="569">
        <v>225</v>
      </c>
      <c r="K25" s="569">
        <v>5.09</v>
      </c>
      <c r="L25" s="91"/>
      <c r="M25" s="91"/>
      <c r="N25" s="91"/>
      <c r="O25" s="91"/>
      <c r="P25" s="145">
        <v>50</v>
      </c>
      <c r="Q25" s="580">
        <v>0</v>
      </c>
      <c r="R25" s="145">
        <v>96</v>
      </c>
      <c r="S25" s="145">
        <v>3.34</v>
      </c>
      <c r="T25" s="570">
        <v>32</v>
      </c>
      <c r="U25" s="570">
        <v>0</v>
      </c>
      <c r="V25" s="570">
        <v>32</v>
      </c>
      <c r="W25" s="217">
        <v>1.54</v>
      </c>
      <c r="X25" s="68">
        <v>26</v>
      </c>
      <c r="Y25" s="145">
        <v>1</v>
      </c>
      <c r="Z25" s="68">
        <v>26</v>
      </c>
      <c r="AA25" s="79">
        <v>0.3</v>
      </c>
      <c r="AB25" s="79"/>
      <c r="AC25" s="79"/>
      <c r="AD25" s="79"/>
      <c r="AE25" s="79"/>
      <c r="AF25" s="145" t="s">
        <v>23</v>
      </c>
      <c r="AG25" s="257">
        <v>15</v>
      </c>
      <c r="AH25" s="145" t="s">
        <v>150</v>
      </c>
      <c r="AI25" s="145" t="s">
        <v>306</v>
      </c>
      <c r="AJ25" s="145" t="s">
        <v>275</v>
      </c>
    </row>
    <row r="26" spans="1:36" ht="60">
      <c r="A26" s="607" t="s">
        <v>615</v>
      </c>
      <c r="B26" s="151" t="s">
        <v>695</v>
      </c>
      <c r="C26" s="33" t="s">
        <v>1089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145">
        <v>0</v>
      </c>
      <c r="Q26" s="145">
        <v>0</v>
      </c>
      <c r="R26" s="145">
        <f>92+16</f>
        <v>108</v>
      </c>
      <c r="S26" s="145" t="s">
        <v>1090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 t="s">
        <v>81</v>
      </c>
      <c r="AG26" s="257">
        <v>16</v>
      </c>
      <c r="AH26" s="145" t="s">
        <v>150</v>
      </c>
      <c r="AI26" s="145" t="s">
        <v>306</v>
      </c>
      <c r="AJ26" s="145" t="s">
        <v>306</v>
      </c>
    </row>
    <row r="27" spans="1:37" s="260" customFormat="1" ht="15.75">
      <c r="A27" s="26"/>
      <c r="B27" s="1027" t="s">
        <v>30</v>
      </c>
      <c r="C27" s="1027"/>
      <c r="D27" s="153">
        <f>SUM(D22:D26)</f>
        <v>68</v>
      </c>
      <c r="E27" s="153">
        <f aca="true" t="shared" si="1" ref="E27:AE27">SUM(E22:E26)</f>
        <v>0</v>
      </c>
      <c r="F27" s="153">
        <f t="shared" si="1"/>
        <v>40</v>
      </c>
      <c r="G27" s="153">
        <f t="shared" si="1"/>
        <v>37.68</v>
      </c>
      <c r="H27" s="153">
        <f t="shared" si="1"/>
        <v>48</v>
      </c>
      <c r="I27" s="153">
        <f t="shared" si="1"/>
        <v>48</v>
      </c>
      <c r="J27" s="153">
        <f t="shared" si="1"/>
        <v>265</v>
      </c>
      <c r="K27" s="153">
        <f t="shared" si="1"/>
        <v>18.85</v>
      </c>
      <c r="L27" s="153">
        <f t="shared" si="1"/>
        <v>104</v>
      </c>
      <c r="M27" s="153">
        <f t="shared" si="1"/>
        <v>15</v>
      </c>
      <c r="N27" s="153">
        <f t="shared" si="1"/>
        <v>13</v>
      </c>
      <c r="O27" s="153">
        <f t="shared" si="1"/>
        <v>13</v>
      </c>
      <c r="P27" s="153">
        <f t="shared" si="1"/>
        <v>65</v>
      </c>
      <c r="Q27" s="153">
        <f t="shared" si="1"/>
        <v>2</v>
      </c>
      <c r="R27" s="153">
        <f t="shared" si="1"/>
        <v>218</v>
      </c>
      <c r="S27" s="153">
        <f t="shared" si="1"/>
        <v>17.36</v>
      </c>
      <c r="T27" s="153">
        <f t="shared" si="1"/>
        <v>92</v>
      </c>
      <c r="U27" s="153">
        <f t="shared" si="1"/>
        <v>6</v>
      </c>
      <c r="V27" s="153">
        <f t="shared" si="1"/>
        <v>92</v>
      </c>
      <c r="W27" s="153">
        <f t="shared" si="1"/>
        <v>10.719999999999999</v>
      </c>
      <c r="X27" s="153">
        <f t="shared" si="1"/>
        <v>178</v>
      </c>
      <c r="Y27" s="153">
        <f t="shared" si="1"/>
        <v>9</v>
      </c>
      <c r="Z27" s="153">
        <f t="shared" si="1"/>
        <v>60</v>
      </c>
      <c r="AA27" s="153">
        <f t="shared" si="1"/>
        <v>5.3</v>
      </c>
      <c r="AB27" s="153">
        <f t="shared" si="1"/>
        <v>64</v>
      </c>
      <c r="AC27" s="153">
        <f t="shared" si="1"/>
        <v>32</v>
      </c>
      <c r="AD27" s="153">
        <f t="shared" si="1"/>
        <v>128</v>
      </c>
      <c r="AE27" s="153">
        <f t="shared" si="1"/>
        <v>34.08</v>
      </c>
      <c r="AF27" s="242"/>
      <c r="AG27" s="242"/>
      <c r="AH27" s="242"/>
      <c r="AI27" s="242"/>
      <c r="AJ27" s="242"/>
      <c r="AK27" s="610"/>
    </row>
    <row r="28" spans="1:36" ht="15.75">
      <c r="A28" s="616" t="s">
        <v>134</v>
      </c>
      <c r="B28" s="1130" t="s">
        <v>135</v>
      </c>
      <c r="C28" s="1130"/>
      <c r="D28" s="1130"/>
      <c r="E28" s="1130"/>
      <c r="F28" s="1130"/>
      <c r="G28" s="1130"/>
      <c r="H28" s="1130"/>
      <c r="I28" s="1130"/>
      <c r="J28" s="1130"/>
      <c r="K28" s="1130"/>
      <c r="L28" s="1130"/>
      <c r="M28" s="1130"/>
      <c r="N28" s="1130"/>
      <c r="O28" s="1130"/>
      <c r="P28" s="1130"/>
      <c r="Q28" s="1130"/>
      <c r="R28" s="1130"/>
      <c r="S28" s="1130"/>
      <c r="T28" s="1130"/>
      <c r="U28" s="1130"/>
      <c r="V28" s="1130"/>
      <c r="W28" s="1130"/>
      <c r="X28" s="1130"/>
      <c r="Y28" s="1130"/>
      <c r="Z28" s="1130"/>
      <c r="AA28" s="1130"/>
      <c r="AB28" s="1130"/>
      <c r="AC28" s="1130"/>
      <c r="AD28" s="1130"/>
      <c r="AE28" s="1130"/>
      <c r="AF28" s="1130"/>
      <c r="AG28" s="1130"/>
      <c r="AH28" s="1130"/>
      <c r="AI28" s="1130"/>
      <c r="AJ28" s="1130"/>
    </row>
    <row r="29" spans="1:37" s="256" customFormat="1" ht="15.75">
      <c r="A29" s="581" t="s">
        <v>134</v>
      </c>
      <c r="B29" s="582" t="s">
        <v>1091</v>
      </c>
      <c r="C29" s="151" t="s">
        <v>22</v>
      </c>
      <c r="D29" s="151"/>
      <c r="E29" s="151"/>
      <c r="F29" s="151"/>
      <c r="G29" s="151"/>
      <c r="H29" s="583"/>
      <c r="I29" s="581"/>
      <c r="J29" s="581">
        <v>16</v>
      </c>
      <c r="K29" s="583">
        <v>0.64</v>
      </c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 t="s">
        <v>12</v>
      </c>
      <c r="AG29" s="151">
        <v>4</v>
      </c>
      <c r="AH29" s="145" t="s">
        <v>150</v>
      </c>
      <c r="AI29" s="583" t="s">
        <v>306</v>
      </c>
      <c r="AJ29" s="584" t="s">
        <v>1092</v>
      </c>
      <c r="AK29" s="606"/>
    </row>
    <row r="30" spans="1:36" s="606" customFormat="1" ht="83.25" customHeight="1">
      <c r="A30" s="195" t="s">
        <v>557</v>
      </c>
      <c r="B30" s="33" t="s">
        <v>636</v>
      </c>
      <c r="C30" s="145" t="s">
        <v>33</v>
      </c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570">
        <v>72</v>
      </c>
      <c r="U30" s="570">
        <v>0</v>
      </c>
      <c r="V30" s="570">
        <v>72</v>
      </c>
      <c r="W30" s="217">
        <v>2.31</v>
      </c>
      <c r="X30" s="145"/>
      <c r="Y30" s="145"/>
      <c r="Z30" s="145"/>
      <c r="AA30" s="145"/>
      <c r="AB30" s="145"/>
      <c r="AC30" s="145"/>
      <c r="AD30" s="145"/>
      <c r="AE30" s="145"/>
      <c r="AF30" s="585" t="s">
        <v>35</v>
      </c>
      <c r="AG30" s="585" t="s">
        <v>49</v>
      </c>
      <c r="AH30" s="145" t="s">
        <v>150</v>
      </c>
      <c r="AI30" s="206" t="s">
        <v>306</v>
      </c>
      <c r="AJ30" s="586" t="s">
        <v>1093</v>
      </c>
    </row>
    <row r="31" spans="1:37" s="256" customFormat="1" ht="47.25" hidden="1">
      <c r="A31" s="576" t="s">
        <v>557</v>
      </c>
      <c r="B31" s="151" t="s">
        <v>32</v>
      </c>
      <c r="C31" s="6" t="s">
        <v>681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1131">
        <v>46</v>
      </c>
      <c r="AC31" s="1134">
        <v>0</v>
      </c>
      <c r="AD31" s="145"/>
      <c r="AE31" s="145"/>
      <c r="AF31" s="145" t="s">
        <v>279</v>
      </c>
      <c r="AG31" s="145" t="s">
        <v>1094</v>
      </c>
      <c r="AH31" s="563" t="s">
        <v>684</v>
      </c>
      <c r="AI31" s="145" t="s">
        <v>555</v>
      </c>
      <c r="AJ31" s="145" t="s">
        <v>558</v>
      </c>
      <c r="AK31" s="606"/>
    </row>
    <row r="32" spans="1:37" s="256" customFormat="1" ht="31.5" hidden="1">
      <c r="A32" s="587" t="s">
        <v>557</v>
      </c>
      <c r="B32" s="587" t="s">
        <v>1048</v>
      </c>
      <c r="C32" s="6" t="s">
        <v>1049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1132"/>
      <c r="AC32" s="1135"/>
      <c r="AD32" s="145"/>
      <c r="AE32" s="145"/>
      <c r="AF32" s="145"/>
      <c r="AG32" s="145"/>
      <c r="AH32" s="563"/>
      <c r="AI32" s="145"/>
      <c r="AJ32" s="145"/>
      <c r="AK32" s="606"/>
    </row>
    <row r="33" spans="1:37" s="256" customFormat="1" ht="15.75">
      <c r="A33" s="576" t="s">
        <v>557</v>
      </c>
      <c r="B33" s="151" t="s">
        <v>1051</v>
      </c>
      <c r="C33" s="6" t="s">
        <v>33</v>
      </c>
      <c r="D33" s="6"/>
      <c r="E33" s="6"/>
      <c r="F33" s="6"/>
      <c r="G33" s="6"/>
      <c r="H33" s="581">
        <v>540</v>
      </c>
      <c r="I33" s="581">
        <v>540</v>
      </c>
      <c r="J33" s="581">
        <v>450</v>
      </c>
      <c r="K33" s="581">
        <v>17.57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8">
        <v>52</v>
      </c>
      <c r="Y33" s="68">
        <v>0</v>
      </c>
      <c r="Z33" s="68">
        <v>60</v>
      </c>
      <c r="AA33" s="79">
        <v>0.6</v>
      </c>
      <c r="AB33" s="1132"/>
      <c r="AC33" s="1135"/>
      <c r="AD33" s="145"/>
      <c r="AE33" s="145"/>
      <c r="AF33" s="68" t="s">
        <v>37</v>
      </c>
      <c r="AG33" s="145">
        <v>25</v>
      </c>
      <c r="AH33" s="68" t="s">
        <v>297</v>
      </c>
      <c r="AI33" s="145" t="s">
        <v>555</v>
      </c>
      <c r="AJ33" s="145" t="s">
        <v>558</v>
      </c>
      <c r="AK33" s="606"/>
    </row>
    <row r="34" spans="1:37" s="256" customFormat="1" ht="30">
      <c r="A34" s="617" t="s">
        <v>338</v>
      </c>
      <c r="B34" s="618" t="s">
        <v>339</v>
      </c>
      <c r="C34" s="1062" t="s">
        <v>140</v>
      </c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132"/>
      <c r="AC34" s="1135"/>
      <c r="AD34" s="145"/>
      <c r="AE34" s="145"/>
      <c r="AF34" s="145" t="s">
        <v>279</v>
      </c>
      <c r="AG34" s="145" t="s">
        <v>575</v>
      </c>
      <c r="AH34" s="145" t="s">
        <v>280</v>
      </c>
      <c r="AI34" s="145" t="s">
        <v>306</v>
      </c>
      <c r="AJ34" s="145" t="s">
        <v>281</v>
      </c>
      <c r="AK34" s="606"/>
    </row>
    <row r="35" spans="1:36" ht="30">
      <c r="A35" s="617" t="s">
        <v>340</v>
      </c>
      <c r="B35" s="618" t="s">
        <v>40</v>
      </c>
      <c r="C35" s="1062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132"/>
      <c r="AC35" s="1135"/>
      <c r="AD35" s="2"/>
      <c r="AE35" s="2"/>
      <c r="AF35" s="145" t="s">
        <v>12</v>
      </c>
      <c r="AG35" s="145">
        <v>25</v>
      </c>
      <c r="AH35" s="145" t="s">
        <v>280</v>
      </c>
      <c r="AI35" s="145" t="s">
        <v>306</v>
      </c>
      <c r="AJ35" s="145" t="s">
        <v>281</v>
      </c>
    </row>
    <row r="36" spans="1:36" ht="30">
      <c r="A36" s="617" t="s">
        <v>341</v>
      </c>
      <c r="B36" s="618" t="s">
        <v>343</v>
      </c>
      <c r="C36" s="1062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132"/>
      <c r="AC36" s="1135"/>
      <c r="AD36" s="2"/>
      <c r="AE36" s="2"/>
      <c r="AF36" s="145" t="s">
        <v>344</v>
      </c>
      <c r="AG36" s="145">
        <v>25</v>
      </c>
      <c r="AH36" s="145" t="s">
        <v>280</v>
      </c>
      <c r="AI36" s="145" t="s">
        <v>306</v>
      </c>
      <c r="AJ36" s="145" t="s">
        <v>281</v>
      </c>
    </row>
    <row r="37" spans="1:36" ht="30">
      <c r="A37" s="617" t="s">
        <v>342</v>
      </c>
      <c r="B37" s="618" t="s">
        <v>345</v>
      </c>
      <c r="C37" s="1062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133"/>
      <c r="AC37" s="1136"/>
      <c r="AD37" s="2"/>
      <c r="AE37" s="2"/>
      <c r="AF37" s="145" t="s">
        <v>23</v>
      </c>
      <c r="AG37" s="145">
        <v>25</v>
      </c>
      <c r="AH37" s="145" t="s">
        <v>280</v>
      </c>
      <c r="AI37" s="145" t="s">
        <v>306</v>
      </c>
      <c r="AJ37" s="145" t="s">
        <v>281</v>
      </c>
    </row>
    <row r="38" spans="1:36" ht="78.75">
      <c r="A38" s="588" t="s">
        <v>640</v>
      </c>
      <c r="B38" s="589" t="s">
        <v>639</v>
      </c>
      <c r="C38" s="2" t="s">
        <v>638</v>
      </c>
      <c r="D38" s="2"/>
      <c r="E38" s="2"/>
      <c r="F38" s="2"/>
      <c r="G38" s="2"/>
      <c r="H38" s="569">
        <v>20</v>
      </c>
      <c r="I38" s="569">
        <v>20</v>
      </c>
      <c r="J38" s="590">
        <v>20</v>
      </c>
      <c r="K38" s="569">
        <v>3.94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55" t="s">
        <v>37</v>
      </c>
      <c r="AG38" s="145" t="s">
        <v>575</v>
      </c>
      <c r="AH38" s="145" t="s">
        <v>280</v>
      </c>
      <c r="AI38" s="2" t="s">
        <v>306</v>
      </c>
      <c r="AJ38" s="55" t="s">
        <v>641</v>
      </c>
    </row>
    <row r="39" spans="1:36" s="606" customFormat="1" ht="45" customHeight="1">
      <c r="A39" s="195" t="s">
        <v>640</v>
      </c>
      <c r="B39" s="33" t="s">
        <v>636</v>
      </c>
      <c r="C39" s="145" t="s">
        <v>36</v>
      </c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570">
        <v>24</v>
      </c>
      <c r="U39" s="570">
        <v>0</v>
      </c>
      <c r="V39" s="570">
        <v>24</v>
      </c>
      <c r="W39" s="217">
        <v>0.77</v>
      </c>
      <c r="X39" s="145"/>
      <c r="Y39" s="145"/>
      <c r="Z39" s="145"/>
      <c r="AA39" s="145"/>
      <c r="AB39" s="145"/>
      <c r="AC39" s="145"/>
      <c r="AD39" s="145"/>
      <c r="AE39" s="145"/>
      <c r="AF39" s="206" t="s">
        <v>301</v>
      </c>
      <c r="AG39" s="206">
        <v>25</v>
      </c>
      <c r="AH39" s="145" t="s">
        <v>280</v>
      </c>
      <c r="AI39" s="206" t="s">
        <v>306</v>
      </c>
      <c r="AJ39" s="206" t="s">
        <v>306</v>
      </c>
    </row>
    <row r="40" spans="1:36" s="606" customFormat="1" ht="42.75" customHeight="1">
      <c r="A40" s="195" t="s">
        <v>136</v>
      </c>
      <c r="B40" s="33" t="s">
        <v>636</v>
      </c>
      <c r="C40" s="591" t="s">
        <v>1095</v>
      </c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570">
        <v>40</v>
      </c>
      <c r="U40" s="570">
        <v>0</v>
      </c>
      <c r="V40" s="570">
        <v>40</v>
      </c>
      <c r="W40" s="217">
        <v>0.57</v>
      </c>
      <c r="X40" s="145"/>
      <c r="Y40" s="145"/>
      <c r="Z40" s="145"/>
      <c r="AA40" s="145"/>
      <c r="AB40" s="145"/>
      <c r="AC40" s="145"/>
      <c r="AD40" s="145"/>
      <c r="AE40" s="145"/>
      <c r="AF40" s="206" t="s">
        <v>301</v>
      </c>
      <c r="AG40" s="206">
        <v>25</v>
      </c>
      <c r="AH40" s="145" t="s">
        <v>280</v>
      </c>
      <c r="AI40" s="206" t="s">
        <v>306</v>
      </c>
      <c r="AJ40" s="206" t="s">
        <v>306</v>
      </c>
    </row>
    <row r="41" spans="1:36" ht="15.75">
      <c r="A41" s="588" t="s">
        <v>640</v>
      </c>
      <c r="B41" s="589" t="s">
        <v>1096</v>
      </c>
      <c r="C41" s="2" t="s">
        <v>22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68">
        <v>4</v>
      </c>
      <c r="Y41" s="68">
        <v>0</v>
      </c>
      <c r="Z41" s="68">
        <v>3</v>
      </c>
      <c r="AA41" s="79">
        <v>0.5</v>
      </c>
      <c r="AB41" s="79"/>
      <c r="AC41" s="79"/>
      <c r="AD41" s="79"/>
      <c r="AE41" s="79"/>
      <c r="AF41" s="560" t="s">
        <v>1055</v>
      </c>
      <c r="AG41" s="145">
        <v>4</v>
      </c>
      <c r="AH41" s="560" t="s">
        <v>72</v>
      </c>
      <c r="AI41" s="560" t="s">
        <v>1056</v>
      </c>
      <c r="AJ41" s="560" t="s">
        <v>306</v>
      </c>
    </row>
    <row r="42" spans="1:37" s="256" customFormat="1" ht="31.5">
      <c r="A42" s="67" t="s">
        <v>136</v>
      </c>
      <c r="B42" s="618" t="s">
        <v>1097</v>
      </c>
      <c r="C42" s="592" t="s">
        <v>689</v>
      </c>
      <c r="D42" s="592"/>
      <c r="E42" s="592"/>
      <c r="F42" s="592"/>
      <c r="G42" s="592"/>
      <c r="H42" s="592"/>
      <c r="I42" s="592"/>
      <c r="J42" s="592"/>
      <c r="K42" s="592"/>
      <c r="L42" s="592"/>
      <c r="M42" s="592"/>
      <c r="N42" s="592"/>
      <c r="O42" s="592"/>
      <c r="P42" s="592"/>
      <c r="Q42" s="592"/>
      <c r="R42" s="592"/>
      <c r="S42" s="592"/>
      <c r="T42" s="592"/>
      <c r="U42" s="592"/>
      <c r="V42" s="592"/>
      <c r="W42" s="592"/>
      <c r="X42" s="68">
        <v>1</v>
      </c>
      <c r="Y42" s="145">
        <v>0</v>
      </c>
      <c r="Z42" s="68">
        <v>15</v>
      </c>
      <c r="AA42" s="79">
        <v>1.06</v>
      </c>
      <c r="AB42" s="562"/>
      <c r="AC42" s="557"/>
      <c r="AD42" s="562"/>
      <c r="AE42" s="562"/>
      <c r="AF42" s="563" t="s">
        <v>274</v>
      </c>
      <c r="AG42" s="145">
        <v>2</v>
      </c>
      <c r="AH42" s="563" t="s">
        <v>690</v>
      </c>
      <c r="AI42" s="145" t="s">
        <v>306</v>
      </c>
      <c r="AJ42" s="145" t="s">
        <v>306</v>
      </c>
      <c r="AK42" s="606"/>
    </row>
    <row r="43" spans="1:37" s="256" customFormat="1" ht="31.5">
      <c r="A43" s="67" t="s">
        <v>136</v>
      </c>
      <c r="B43" s="618" t="s">
        <v>1051</v>
      </c>
      <c r="C43" s="592" t="s">
        <v>33</v>
      </c>
      <c r="D43" s="592"/>
      <c r="E43" s="592"/>
      <c r="F43" s="592"/>
      <c r="G43" s="592"/>
      <c r="H43" s="592"/>
      <c r="I43" s="592"/>
      <c r="J43" s="592"/>
      <c r="K43" s="592"/>
      <c r="L43" s="592"/>
      <c r="M43" s="592"/>
      <c r="N43" s="592"/>
      <c r="O43" s="592"/>
      <c r="P43" s="592"/>
      <c r="Q43" s="592"/>
      <c r="R43" s="592"/>
      <c r="S43" s="592"/>
      <c r="T43" s="592"/>
      <c r="U43" s="592"/>
      <c r="V43" s="592"/>
      <c r="W43" s="592"/>
      <c r="X43" s="68"/>
      <c r="Y43" s="145"/>
      <c r="Z43" s="68"/>
      <c r="AA43" s="79"/>
      <c r="AB43" s="562">
        <v>100</v>
      </c>
      <c r="AC43" s="557">
        <v>88</v>
      </c>
      <c r="AD43" s="562">
        <v>0</v>
      </c>
      <c r="AE43" s="562">
        <v>0</v>
      </c>
      <c r="AF43" s="557" t="s">
        <v>37</v>
      </c>
      <c r="AG43" s="559">
        <v>25</v>
      </c>
      <c r="AH43" s="563" t="s">
        <v>690</v>
      </c>
      <c r="AI43" s="557" t="s">
        <v>306</v>
      </c>
      <c r="AJ43" s="593" t="s">
        <v>1098</v>
      </c>
      <c r="AK43" s="594"/>
    </row>
    <row r="44" spans="1:37" s="256" customFormat="1" ht="31.5">
      <c r="A44" s="67" t="s">
        <v>774</v>
      </c>
      <c r="B44" s="618" t="s">
        <v>1099</v>
      </c>
      <c r="C44" s="592" t="s">
        <v>1100</v>
      </c>
      <c r="D44" s="592"/>
      <c r="E44" s="592"/>
      <c r="F44" s="592"/>
      <c r="G44" s="592"/>
      <c r="H44" s="592"/>
      <c r="I44" s="592"/>
      <c r="J44" s="592"/>
      <c r="K44" s="592"/>
      <c r="L44" s="614"/>
      <c r="M44" s="614"/>
      <c r="N44" s="613">
        <v>20</v>
      </c>
      <c r="O44" s="613">
        <v>10</v>
      </c>
      <c r="P44" s="613"/>
      <c r="Q44" s="613"/>
      <c r="R44" s="613"/>
      <c r="S44" s="613"/>
      <c r="T44" s="613"/>
      <c r="U44" s="613"/>
      <c r="V44" s="613"/>
      <c r="W44" s="613"/>
      <c r="X44" s="68"/>
      <c r="Y44" s="145"/>
      <c r="Z44" s="68"/>
      <c r="AA44" s="79"/>
      <c r="AB44" s="562"/>
      <c r="AC44" s="557"/>
      <c r="AD44" s="562"/>
      <c r="AE44" s="562"/>
      <c r="AF44" s="563" t="s">
        <v>561</v>
      </c>
      <c r="AG44" s="563">
        <v>4</v>
      </c>
      <c r="AH44" s="563" t="s">
        <v>690</v>
      </c>
      <c r="AI44" s="595" t="s">
        <v>1101</v>
      </c>
      <c r="AJ44" s="595" t="s">
        <v>564</v>
      </c>
      <c r="AK44" s="596"/>
    </row>
    <row r="45" spans="1:36" ht="63">
      <c r="A45" s="602" t="s">
        <v>784</v>
      </c>
      <c r="B45" s="618" t="s">
        <v>1102</v>
      </c>
      <c r="C45" s="145" t="s">
        <v>945</v>
      </c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593">
        <v>40</v>
      </c>
      <c r="AC45" s="557">
        <v>0</v>
      </c>
      <c r="AD45" s="593">
        <v>2</v>
      </c>
      <c r="AE45" s="593">
        <v>0</v>
      </c>
      <c r="AF45" s="145" t="s">
        <v>786</v>
      </c>
      <c r="AG45" s="145">
        <v>30</v>
      </c>
      <c r="AH45" s="145" t="s">
        <v>610</v>
      </c>
      <c r="AI45" s="145" t="s">
        <v>548</v>
      </c>
      <c r="AJ45" s="145" t="s">
        <v>610</v>
      </c>
    </row>
    <row r="46" spans="1:36" ht="31.5">
      <c r="A46" s="607" t="s">
        <v>138</v>
      </c>
      <c r="B46" s="618" t="s">
        <v>1103</v>
      </c>
      <c r="C46" s="36" t="s">
        <v>145</v>
      </c>
      <c r="D46" s="92"/>
      <c r="E46" s="127"/>
      <c r="F46" s="92">
        <v>70</v>
      </c>
      <c r="G46" s="2">
        <v>10.9</v>
      </c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145" t="s">
        <v>15</v>
      </c>
      <c r="AG46" s="145">
        <v>35</v>
      </c>
      <c r="AH46" s="145" t="s">
        <v>311</v>
      </c>
      <c r="AI46" s="145" t="s">
        <v>548</v>
      </c>
      <c r="AJ46" s="145" t="s">
        <v>313</v>
      </c>
    </row>
    <row r="47" spans="1:37" s="256" customFormat="1" ht="15.75">
      <c r="A47" s="607" t="s">
        <v>302</v>
      </c>
      <c r="B47" s="619" t="s">
        <v>303</v>
      </c>
      <c r="C47" s="108" t="s">
        <v>1104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570"/>
      <c r="U47" s="570"/>
      <c r="V47" s="570">
        <v>62</v>
      </c>
      <c r="W47" s="217">
        <v>1.96</v>
      </c>
      <c r="X47" s="108"/>
      <c r="Y47" s="108"/>
      <c r="Z47" s="108"/>
      <c r="AA47" s="108"/>
      <c r="AB47" s="562">
        <v>2</v>
      </c>
      <c r="AC47" s="562">
        <v>0</v>
      </c>
      <c r="AD47" s="562">
        <v>10</v>
      </c>
      <c r="AE47" s="597">
        <v>2</v>
      </c>
      <c r="AF47" s="145" t="s">
        <v>12</v>
      </c>
      <c r="AG47" s="145">
        <v>30</v>
      </c>
      <c r="AH47" s="145" t="s">
        <v>311</v>
      </c>
      <c r="AI47" s="145" t="s">
        <v>306</v>
      </c>
      <c r="AJ47" s="145" t="s">
        <v>106</v>
      </c>
      <c r="AK47" s="606"/>
    </row>
    <row r="48" spans="1:36" ht="15.75">
      <c r="A48" s="607"/>
      <c r="B48" s="618" t="s">
        <v>115</v>
      </c>
      <c r="C48" s="108" t="s">
        <v>39</v>
      </c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68">
        <v>0</v>
      </c>
      <c r="Y48" s="145">
        <v>4</v>
      </c>
      <c r="Z48" s="108"/>
      <c r="AA48" s="108"/>
      <c r="AB48" s="108"/>
      <c r="AC48" s="108"/>
      <c r="AD48" s="108"/>
      <c r="AE48" s="108"/>
      <c r="AF48" s="145"/>
      <c r="AG48" s="42"/>
      <c r="AH48" s="145" t="s">
        <v>575</v>
      </c>
      <c r="AI48" s="145"/>
      <c r="AJ48" s="145"/>
    </row>
    <row r="49" spans="1:37" s="260" customFormat="1" ht="17.25" customHeight="1" thickBot="1">
      <c r="A49" s="620"/>
      <c r="B49" s="1129" t="s">
        <v>30</v>
      </c>
      <c r="C49" s="1129"/>
      <c r="D49" s="154">
        <f>SUM(D29:D48)</f>
        <v>0</v>
      </c>
      <c r="E49" s="154">
        <f aca="true" t="shared" si="2" ref="E49:AE49">SUM(E29:E48)</f>
        <v>0</v>
      </c>
      <c r="F49" s="154">
        <f t="shared" si="2"/>
        <v>70</v>
      </c>
      <c r="G49" s="154">
        <f t="shared" si="2"/>
        <v>10.9</v>
      </c>
      <c r="H49" s="154">
        <f t="shared" si="2"/>
        <v>560</v>
      </c>
      <c r="I49" s="154">
        <f t="shared" si="2"/>
        <v>560</v>
      </c>
      <c r="J49" s="154">
        <f t="shared" si="2"/>
        <v>486</v>
      </c>
      <c r="K49" s="154">
        <f t="shared" si="2"/>
        <v>22.150000000000002</v>
      </c>
      <c r="L49" s="154">
        <f t="shared" si="2"/>
        <v>0</v>
      </c>
      <c r="M49" s="154">
        <f t="shared" si="2"/>
        <v>0</v>
      </c>
      <c r="N49" s="154">
        <f t="shared" si="2"/>
        <v>20</v>
      </c>
      <c r="O49" s="154">
        <f t="shared" si="2"/>
        <v>10</v>
      </c>
      <c r="P49" s="154">
        <f t="shared" si="2"/>
        <v>0</v>
      </c>
      <c r="Q49" s="154">
        <f t="shared" si="2"/>
        <v>0</v>
      </c>
      <c r="R49" s="154">
        <f t="shared" si="2"/>
        <v>0</v>
      </c>
      <c r="S49" s="154">
        <f t="shared" si="2"/>
        <v>0</v>
      </c>
      <c r="T49" s="154">
        <f t="shared" si="2"/>
        <v>136</v>
      </c>
      <c r="U49" s="154">
        <f t="shared" si="2"/>
        <v>0</v>
      </c>
      <c r="V49" s="154">
        <f t="shared" si="2"/>
        <v>198</v>
      </c>
      <c r="W49" s="154">
        <f t="shared" si="2"/>
        <v>5.609999999999999</v>
      </c>
      <c r="X49" s="154">
        <f t="shared" si="2"/>
        <v>57</v>
      </c>
      <c r="Y49" s="154">
        <f t="shared" si="2"/>
        <v>4</v>
      </c>
      <c r="Z49" s="154">
        <f t="shared" si="2"/>
        <v>78</v>
      </c>
      <c r="AA49" s="154">
        <f t="shared" si="2"/>
        <v>2.16</v>
      </c>
      <c r="AB49" s="154">
        <f t="shared" si="2"/>
        <v>188</v>
      </c>
      <c r="AC49" s="154">
        <f t="shared" si="2"/>
        <v>88</v>
      </c>
      <c r="AD49" s="154">
        <f t="shared" si="2"/>
        <v>12</v>
      </c>
      <c r="AE49" s="154">
        <f t="shared" si="2"/>
        <v>2</v>
      </c>
      <c r="AF49" s="246"/>
      <c r="AG49" s="246"/>
      <c r="AH49" s="246"/>
      <c r="AI49" s="246"/>
      <c r="AJ49" s="246"/>
      <c r="AK49" s="610"/>
    </row>
    <row r="50" spans="1:37" s="260" customFormat="1" ht="17.25" customHeight="1" thickBot="1">
      <c r="A50" s="122"/>
      <c r="B50" s="1036" t="s">
        <v>17</v>
      </c>
      <c r="C50" s="1036"/>
      <c r="D50" s="270">
        <f>SUM(D21,D27,D49)</f>
        <v>142</v>
      </c>
      <c r="E50" s="270">
        <f aca="true" t="shared" si="3" ref="E50:AE50">SUM(E21,E27,E49)</f>
        <v>14</v>
      </c>
      <c r="F50" s="270">
        <f t="shared" si="3"/>
        <v>175</v>
      </c>
      <c r="G50" s="270">
        <f t="shared" si="3"/>
        <v>97.74000000000001</v>
      </c>
      <c r="H50" s="270">
        <f t="shared" si="3"/>
        <v>804</v>
      </c>
      <c r="I50" s="270">
        <f t="shared" si="3"/>
        <v>794</v>
      </c>
      <c r="J50" s="270">
        <f t="shared" si="3"/>
        <v>1058</v>
      </c>
      <c r="K50" s="270">
        <f t="shared" si="3"/>
        <v>66.83000000000001</v>
      </c>
      <c r="L50" s="270">
        <f t="shared" si="3"/>
        <v>104</v>
      </c>
      <c r="M50" s="270">
        <f t="shared" si="3"/>
        <v>15</v>
      </c>
      <c r="N50" s="270">
        <f t="shared" si="3"/>
        <v>33</v>
      </c>
      <c r="O50" s="270">
        <f t="shared" si="3"/>
        <v>23</v>
      </c>
      <c r="P50" s="270">
        <f t="shared" si="3"/>
        <v>282</v>
      </c>
      <c r="Q50" s="270">
        <f t="shared" si="3"/>
        <v>30</v>
      </c>
      <c r="R50" s="270">
        <f t="shared" si="3"/>
        <v>452</v>
      </c>
      <c r="S50" s="270">
        <f t="shared" si="3"/>
        <v>77.71000000000001</v>
      </c>
      <c r="T50" s="270">
        <f t="shared" si="3"/>
        <v>333</v>
      </c>
      <c r="U50" s="270">
        <f t="shared" si="3"/>
        <v>6</v>
      </c>
      <c r="V50" s="270">
        <f t="shared" si="3"/>
        <v>395</v>
      </c>
      <c r="W50" s="270">
        <f t="shared" si="3"/>
        <v>43.2</v>
      </c>
      <c r="X50" s="270">
        <f t="shared" si="3"/>
        <v>359</v>
      </c>
      <c r="Y50" s="270">
        <f t="shared" si="3"/>
        <v>43</v>
      </c>
      <c r="Z50" s="270">
        <f t="shared" si="3"/>
        <v>324</v>
      </c>
      <c r="AA50" s="270">
        <f t="shared" si="3"/>
        <v>13.129999999999999</v>
      </c>
      <c r="AB50" s="270">
        <f t="shared" si="3"/>
        <v>439</v>
      </c>
      <c r="AC50" s="270">
        <f t="shared" si="3"/>
        <v>208</v>
      </c>
      <c r="AD50" s="270">
        <f t="shared" si="3"/>
        <v>355</v>
      </c>
      <c r="AE50" s="270">
        <f t="shared" si="3"/>
        <v>52.709999999999994</v>
      </c>
      <c r="AF50" s="165"/>
      <c r="AG50" s="165"/>
      <c r="AH50" s="165"/>
      <c r="AI50" s="165"/>
      <c r="AJ50" s="165"/>
      <c r="AK50" s="610"/>
    </row>
    <row r="51" ht="17.25" customHeight="1">
      <c r="B51" s="19"/>
    </row>
  </sheetData>
  <sheetProtection/>
  <mergeCells count="48">
    <mergeCell ref="B49:C49"/>
    <mergeCell ref="B50:C50"/>
    <mergeCell ref="B21:C21"/>
    <mergeCell ref="B27:C27"/>
    <mergeCell ref="B28:AJ28"/>
    <mergeCell ref="AB31:AB37"/>
    <mergeCell ref="AC31:AC37"/>
    <mergeCell ref="C34:C37"/>
    <mergeCell ref="AJ4:AJ5"/>
    <mergeCell ref="N6:O6"/>
    <mergeCell ref="B7:B8"/>
    <mergeCell ref="C12:C17"/>
    <mergeCell ref="N12:O12"/>
    <mergeCell ref="N13:O13"/>
    <mergeCell ref="N14:O14"/>
    <mergeCell ref="N16:O16"/>
    <mergeCell ref="AB4:AC4"/>
    <mergeCell ref="AD4:AE4"/>
    <mergeCell ref="AF4:AF5"/>
    <mergeCell ref="AG4:AG5"/>
    <mergeCell ref="AH4:AH5"/>
    <mergeCell ref="AI4:AI5"/>
    <mergeCell ref="P4:Q4"/>
    <mergeCell ref="R4:S4"/>
    <mergeCell ref="T4:U4"/>
    <mergeCell ref="V4:W4"/>
    <mergeCell ref="X4:Y4"/>
    <mergeCell ref="Z4:AA4"/>
    <mergeCell ref="AF3:AJ3"/>
    <mergeCell ref="A4:A5"/>
    <mergeCell ref="B4:B5"/>
    <mergeCell ref="C4:C5"/>
    <mergeCell ref="D4:E4"/>
    <mergeCell ref="F4:G4"/>
    <mergeCell ref="H4:I4"/>
    <mergeCell ref="J4:K4"/>
    <mergeCell ref="L4:M4"/>
    <mergeCell ref="N4:O4"/>
    <mergeCell ref="A1:AJ1"/>
    <mergeCell ref="A2:AJ2"/>
    <mergeCell ref="A3:C3"/>
    <mergeCell ref="D3:G3"/>
    <mergeCell ref="H3:K3"/>
    <mergeCell ref="L3:O3"/>
    <mergeCell ref="P3:S3"/>
    <mergeCell ref="T3:W3"/>
    <mergeCell ref="X3:AA3"/>
    <mergeCell ref="AB3:AE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62"/>
  <sheetViews>
    <sheetView zoomScale="70" zoomScaleNormal="7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D13" sqref="D13"/>
    </sheetView>
  </sheetViews>
  <sheetFormatPr defaultColWidth="9.140625" defaultRowHeight="17.25" customHeight="1"/>
  <cols>
    <col min="1" max="1" width="12.421875" style="598" customWidth="1"/>
    <col min="2" max="2" width="39.57421875" style="598" customWidth="1"/>
    <col min="3" max="3" width="24.00390625" style="598" customWidth="1"/>
    <col min="4" max="6" width="6.28125" style="598" customWidth="1"/>
    <col min="7" max="7" width="8.00390625" style="598" customWidth="1"/>
    <col min="8" max="31" width="6.28125" style="598" customWidth="1"/>
    <col min="32" max="32" width="11.421875" style="598" customWidth="1"/>
    <col min="33" max="33" width="20.00390625" style="598" customWidth="1"/>
    <col min="34" max="34" width="27.00390625" style="598" customWidth="1"/>
    <col min="35" max="35" width="11.57421875" style="598" customWidth="1"/>
    <col min="36" max="36" width="45.57421875" style="598" customWidth="1"/>
    <col min="37" max="37" width="40.57421875" style="598" hidden="1" customWidth="1"/>
    <col min="38" max="38" width="9.140625" style="598" customWidth="1"/>
    <col min="39" max="16384" width="9.140625" style="254" customWidth="1"/>
  </cols>
  <sheetData>
    <row r="1" spans="1:37" ht="24.75" customHeight="1" thickBot="1">
      <c r="A1" s="1137" t="s">
        <v>18</v>
      </c>
      <c r="B1" s="1138"/>
      <c r="C1" s="1138"/>
      <c r="D1" s="1138"/>
      <c r="E1" s="1138"/>
      <c r="F1" s="1138"/>
      <c r="G1" s="1138"/>
      <c r="H1" s="1138"/>
      <c r="I1" s="1138"/>
      <c r="J1" s="1138"/>
      <c r="K1" s="1138"/>
      <c r="L1" s="1138"/>
      <c r="M1" s="1138"/>
      <c r="N1" s="1138"/>
      <c r="O1" s="1138"/>
      <c r="P1" s="1138"/>
      <c r="Q1" s="1138"/>
      <c r="R1" s="1138"/>
      <c r="S1" s="1138"/>
      <c r="T1" s="1138"/>
      <c r="U1" s="1138"/>
      <c r="V1" s="1138"/>
      <c r="W1" s="1138"/>
      <c r="X1" s="1138"/>
      <c r="Y1" s="1138"/>
      <c r="Z1" s="1138"/>
      <c r="AA1" s="1138"/>
      <c r="AB1" s="1138"/>
      <c r="AC1" s="1138"/>
      <c r="AD1" s="1138"/>
      <c r="AE1" s="1138"/>
      <c r="AF1" s="1138"/>
      <c r="AG1" s="1138"/>
      <c r="AH1" s="1138"/>
      <c r="AI1" s="1138"/>
      <c r="AJ1" s="1138"/>
      <c r="AK1" s="1139"/>
    </row>
    <row r="2" spans="1:37" ht="17.25" customHeight="1" thickBot="1">
      <c r="A2" s="1137" t="s">
        <v>550</v>
      </c>
      <c r="B2" s="1138"/>
      <c r="C2" s="1138"/>
      <c r="D2" s="1138"/>
      <c r="E2" s="1138"/>
      <c r="F2" s="1138"/>
      <c r="G2" s="1138"/>
      <c r="H2" s="1138"/>
      <c r="I2" s="1138"/>
      <c r="J2" s="1138"/>
      <c r="K2" s="1138"/>
      <c r="L2" s="1138"/>
      <c r="M2" s="1138"/>
      <c r="N2" s="1138"/>
      <c r="O2" s="1138"/>
      <c r="P2" s="1138"/>
      <c r="Q2" s="1138"/>
      <c r="R2" s="1138"/>
      <c r="S2" s="1138"/>
      <c r="T2" s="1138"/>
      <c r="U2" s="1138"/>
      <c r="V2" s="1138"/>
      <c r="W2" s="1138"/>
      <c r="X2" s="1138"/>
      <c r="Y2" s="1138"/>
      <c r="Z2" s="1138"/>
      <c r="AA2" s="1138"/>
      <c r="AB2" s="1138"/>
      <c r="AC2" s="1138"/>
      <c r="AD2" s="1138"/>
      <c r="AE2" s="1138"/>
      <c r="AF2" s="1138"/>
      <c r="AG2" s="1138"/>
      <c r="AH2" s="1138"/>
      <c r="AI2" s="1138"/>
      <c r="AJ2" s="1138"/>
      <c r="AK2" s="1139"/>
    </row>
    <row r="3" spans="1:37" ht="21.75" customHeight="1" thickBot="1">
      <c r="A3" s="405"/>
      <c r="B3" s="475"/>
      <c r="C3" s="475"/>
      <c r="D3" s="1114" t="s">
        <v>1105</v>
      </c>
      <c r="E3" s="1115"/>
      <c r="F3" s="1115"/>
      <c r="G3" s="1116"/>
      <c r="H3" s="1114" t="s">
        <v>1106</v>
      </c>
      <c r="I3" s="1115"/>
      <c r="J3" s="1115"/>
      <c r="K3" s="1116"/>
      <c r="L3" s="1114" t="s">
        <v>1107</v>
      </c>
      <c r="M3" s="1115"/>
      <c r="N3" s="1115"/>
      <c r="O3" s="1116"/>
      <c r="P3" s="1140" t="s">
        <v>1108</v>
      </c>
      <c r="Q3" s="1141"/>
      <c r="R3" s="1141"/>
      <c r="S3" s="1142"/>
      <c r="T3" s="1140" t="s">
        <v>1109</v>
      </c>
      <c r="U3" s="1141"/>
      <c r="V3" s="1141"/>
      <c r="W3" s="1142"/>
      <c r="X3" s="1140" t="s">
        <v>1110</v>
      </c>
      <c r="Y3" s="1141"/>
      <c r="Z3" s="1141"/>
      <c r="AA3" s="1142"/>
      <c r="AB3" s="1140" t="s">
        <v>1111</v>
      </c>
      <c r="AC3" s="1141"/>
      <c r="AD3" s="1141"/>
      <c r="AE3" s="1142"/>
      <c r="AF3" s="475"/>
      <c r="AG3" s="475"/>
      <c r="AH3" s="475"/>
      <c r="AI3" s="475"/>
      <c r="AJ3" s="475"/>
      <c r="AK3" s="625"/>
    </row>
    <row r="4" spans="1:37" ht="15" customHeight="1">
      <c r="A4" s="1049" t="s">
        <v>116</v>
      </c>
      <c r="B4" s="1051" t="s">
        <v>19</v>
      </c>
      <c r="C4" s="1051" t="s">
        <v>20</v>
      </c>
      <c r="D4" s="1117" t="s">
        <v>112</v>
      </c>
      <c r="E4" s="1117"/>
      <c r="F4" s="1117" t="s">
        <v>113</v>
      </c>
      <c r="G4" s="1117"/>
      <c r="H4" s="1117" t="s">
        <v>112</v>
      </c>
      <c r="I4" s="1117"/>
      <c r="J4" s="1117" t="s">
        <v>113</v>
      </c>
      <c r="K4" s="1117"/>
      <c r="L4" s="1117" t="s">
        <v>112</v>
      </c>
      <c r="M4" s="1117"/>
      <c r="N4" s="1117" t="s">
        <v>113</v>
      </c>
      <c r="O4" s="1117"/>
      <c r="P4" s="1117" t="s">
        <v>112</v>
      </c>
      <c r="Q4" s="1117"/>
      <c r="R4" s="1117" t="s">
        <v>113</v>
      </c>
      <c r="S4" s="1117"/>
      <c r="T4" s="1117" t="s">
        <v>112</v>
      </c>
      <c r="U4" s="1117"/>
      <c r="V4" s="1117" t="s">
        <v>113</v>
      </c>
      <c r="W4" s="1117"/>
      <c r="X4" s="1117" t="s">
        <v>112</v>
      </c>
      <c r="Y4" s="1117"/>
      <c r="Z4" s="1117" t="s">
        <v>113</v>
      </c>
      <c r="AA4" s="1117"/>
      <c r="AB4" s="1117" t="s">
        <v>112</v>
      </c>
      <c r="AC4" s="1117"/>
      <c r="AD4" s="1117" t="s">
        <v>113</v>
      </c>
      <c r="AE4" s="1117"/>
      <c r="AF4" s="1117" t="s">
        <v>4</v>
      </c>
      <c r="AG4" s="1117" t="s">
        <v>122</v>
      </c>
      <c r="AH4" s="1117" t="s">
        <v>21</v>
      </c>
      <c r="AI4" s="1119" t="s">
        <v>83</v>
      </c>
      <c r="AJ4" s="1121" t="s">
        <v>84</v>
      </c>
      <c r="AK4" s="1143" t="s">
        <v>1112</v>
      </c>
    </row>
    <row r="5" spans="1:37" ht="93" customHeight="1" thickBot="1">
      <c r="A5" s="1050"/>
      <c r="B5" s="1052"/>
      <c r="C5" s="1052"/>
      <c r="D5" s="25" t="s">
        <v>6</v>
      </c>
      <c r="E5" s="25" t="s">
        <v>7</v>
      </c>
      <c r="F5" s="25" t="s">
        <v>6</v>
      </c>
      <c r="G5" s="25" t="s">
        <v>96</v>
      </c>
      <c r="H5" s="25" t="s">
        <v>6</v>
      </c>
      <c r="I5" s="25" t="s">
        <v>7</v>
      </c>
      <c r="J5" s="25" t="s">
        <v>6</v>
      </c>
      <c r="K5" s="25" t="s">
        <v>96</v>
      </c>
      <c r="L5" s="25" t="s">
        <v>6</v>
      </c>
      <c r="M5" s="25" t="s">
        <v>7</v>
      </c>
      <c r="N5" s="25" t="s">
        <v>6</v>
      </c>
      <c r="O5" s="25" t="s">
        <v>96</v>
      </c>
      <c r="P5" s="25" t="s">
        <v>6</v>
      </c>
      <c r="Q5" s="25" t="s">
        <v>7</v>
      </c>
      <c r="R5" s="25" t="s">
        <v>6</v>
      </c>
      <c r="S5" s="25" t="s">
        <v>96</v>
      </c>
      <c r="T5" s="25" t="s">
        <v>6</v>
      </c>
      <c r="U5" s="25" t="s">
        <v>7</v>
      </c>
      <c r="V5" s="25" t="s">
        <v>6</v>
      </c>
      <c r="W5" s="25" t="s">
        <v>96</v>
      </c>
      <c r="X5" s="25" t="s">
        <v>6</v>
      </c>
      <c r="Y5" s="25" t="s">
        <v>7</v>
      </c>
      <c r="Z5" s="25" t="s">
        <v>6</v>
      </c>
      <c r="AA5" s="25" t="s">
        <v>96</v>
      </c>
      <c r="AB5" s="25" t="s">
        <v>6</v>
      </c>
      <c r="AC5" s="25" t="s">
        <v>7</v>
      </c>
      <c r="AD5" s="25" t="s">
        <v>6</v>
      </c>
      <c r="AE5" s="25" t="s">
        <v>96</v>
      </c>
      <c r="AF5" s="1118"/>
      <c r="AG5" s="1118"/>
      <c r="AH5" s="1118"/>
      <c r="AI5" s="1120"/>
      <c r="AJ5" s="1122"/>
      <c r="AK5" s="1144"/>
    </row>
    <row r="6" spans="1:38" s="256" customFormat="1" ht="15.75" hidden="1">
      <c r="A6" s="599" t="s">
        <v>857</v>
      </c>
      <c r="B6" s="181" t="s">
        <v>999</v>
      </c>
      <c r="C6" s="195" t="s">
        <v>675</v>
      </c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412"/>
      <c r="U6" s="412"/>
      <c r="V6" s="412"/>
      <c r="W6" s="412"/>
      <c r="X6" s="412"/>
      <c r="Y6" s="412"/>
      <c r="Z6" s="412"/>
      <c r="AA6" s="412"/>
      <c r="AB6" s="412"/>
      <c r="AC6" s="412"/>
      <c r="AD6" s="412"/>
      <c r="AE6" s="412"/>
      <c r="AF6" s="411" t="s">
        <v>45</v>
      </c>
      <c r="AG6" s="410" t="s">
        <v>1113</v>
      </c>
      <c r="AH6" s="563" t="s">
        <v>1114</v>
      </c>
      <c r="AI6" s="563" t="s">
        <v>306</v>
      </c>
      <c r="AJ6" s="563" t="s">
        <v>1115</v>
      </c>
      <c r="AK6" s="626"/>
      <c r="AL6" s="606"/>
    </row>
    <row r="7" spans="1:38" s="256" customFormat="1" ht="15.75" hidden="1">
      <c r="A7" s="601" t="s">
        <v>1000</v>
      </c>
      <c r="B7" s="181" t="s">
        <v>1001</v>
      </c>
      <c r="C7" s="195" t="s">
        <v>675</v>
      </c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45" t="s">
        <v>1002</v>
      </c>
      <c r="AG7" s="410" t="s">
        <v>1116</v>
      </c>
      <c r="AH7" s="563" t="s">
        <v>686</v>
      </c>
      <c r="AI7" s="563"/>
      <c r="AJ7" s="563" t="s">
        <v>306</v>
      </c>
      <c r="AK7" s="627"/>
      <c r="AL7" s="606"/>
    </row>
    <row r="8" spans="1:38" s="256" customFormat="1" ht="15.75" hidden="1">
      <c r="A8" s="602" t="s">
        <v>680</v>
      </c>
      <c r="B8" s="181" t="s">
        <v>29</v>
      </c>
      <c r="C8" s="145" t="s">
        <v>675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563" t="s">
        <v>524</v>
      </c>
      <c r="AG8" s="145"/>
      <c r="AH8" s="145" t="s">
        <v>280</v>
      </c>
      <c r="AI8" s="145" t="s">
        <v>306</v>
      </c>
      <c r="AJ8" s="145" t="s">
        <v>306</v>
      </c>
      <c r="AK8" s="145"/>
      <c r="AL8" s="606"/>
    </row>
    <row r="9" spans="1:38" s="256" customFormat="1" ht="15.75" hidden="1">
      <c r="A9" s="600" t="s">
        <v>673</v>
      </c>
      <c r="B9" s="181" t="s">
        <v>674</v>
      </c>
      <c r="C9" s="195" t="s">
        <v>675</v>
      </c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42" t="s">
        <v>677</v>
      </c>
      <c r="AG9" s="564" t="s">
        <v>1003</v>
      </c>
      <c r="AH9" s="563" t="s">
        <v>678</v>
      </c>
      <c r="AI9" s="565" t="s">
        <v>306</v>
      </c>
      <c r="AJ9" s="565" t="s">
        <v>306</v>
      </c>
      <c r="AK9" s="626"/>
      <c r="AL9" s="606"/>
    </row>
    <row r="10" spans="1:38" s="256" customFormat="1" ht="32.25" customHeight="1" hidden="1">
      <c r="A10" s="628" t="s">
        <v>768</v>
      </c>
      <c r="B10" s="181" t="s">
        <v>769</v>
      </c>
      <c r="C10" s="195" t="s">
        <v>675</v>
      </c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42" t="s">
        <v>15</v>
      </c>
      <c r="AG10" s="564"/>
      <c r="AH10" s="563" t="s">
        <v>770</v>
      </c>
      <c r="AI10" s="563" t="s">
        <v>306</v>
      </c>
      <c r="AJ10" s="563" t="s">
        <v>771</v>
      </c>
      <c r="AK10" s="152"/>
      <c r="AL10" s="606"/>
    </row>
    <row r="11" spans="1:38" s="256" customFormat="1" ht="94.5" hidden="1">
      <c r="A11" s="603" t="s">
        <v>774</v>
      </c>
      <c r="B11" s="151" t="s">
        <v>1004</v>
      </c>
      <c r="C11" s="5" t="s">
        <v>893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257" t="s">
        <v>81</v>
      </c>
      <c r="AG11" s="257" t="s">
        <v>1117</v>
      </c>
      <c r="AH11" s="563" t="s">
        <v>775</v>
      </c>
      <c r="AI11" s="563" t="s">
        <v>548</v>
      </c>
      <c r="AJ11" s="563" t="s">
        <v>776</v>
      </c>
      <c r="AK11" s="145"/>
      <c r="AL11" s="629"/>
    </row>
    <row r="12" spans="1:37" s="256" customFormat="1" ht="45" hidden="1">
      <c r="A12" s="605" t="s">
        <v>136</v>
      </c>
      <c r="B12" s="151" t="s">
        <v>772</v>
      </c>
      <c r="C12" s="1127" t="s">
        <v>97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145" t="s">
        <v>12</v>
      </c>
      <c r="AG12" s="145" t="s">
        <v>1118</v>
      </c>
      <c r="AH12" s="145" t="s">
        <v>773</v>
      </c>
      <c r="AI12" s="145" t="s">
        <v>548</v>
      </c>
      <c r="AJ12" s="145" t="s">
        <v>773</v>
      </c>
      <c r="AK12" s="145"/>
    </row>
    <row r="13" spans="1:38" s="256" customFormat="1" ht="30">
      <c r="A13" s="605" t="s">
        <v>133</v>
      </c>
      <c r="B13" s="151" t="s">
        <v>25</v>
      </c>
      <c r="C13" s="1127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45"/>
      <c r="Q13" s="145"/>
      <c r="R13" s="145">
        <v>2</v>
      </c>
      <c r="S13" s="145">
        <v>0.7</v>
      </c>
      <c r="T13" s="630">
        <v>8</v>
      </c>
      <c r="U13" s="631">
        <v>0</v>
      </c>
      <c r="V13" s="630">
        <v>8</v>
      </c>
      <c r="W13" s="631">
        <v>1.44</v>
      </c>
      <c r="X13" s="631"/>
      <c r="Y13" s="631"/>
      <c r="Z13" s="631"/>
      <c r="AA13" s="631"/>
      <c r="AB13" s="631"/>
      <c r="AC13" s="631"/>
      <c r="AD13" s="631"/>
      <c r="AE13" s="631"/>
      <c r="AF13" s="42" t="s">
        <v>269</v>
      </c>
      <c r="AG13" s="42" t="s">
        <v>931</v>
      </c>
      <c r="AH13" s="145" t="s">
        <v>149</v>
      </c>
      <c r="AI13" s="145" t="s">
        <v>306</v>
      </c>
      <c r="AJ13" s="145" t="s">
        <v>268</v>
      </c>
      <c r="AK13" s="145"/>
      <c r="AL13" s="606"/>
    </row>
    <row r="14" spans="1:38" s="256" customFormat="1" ht="30">
      <c r="A14" s="607" t="s">
        <v>128</v>
      </c>
      <c r="B14" s="151" t="s">
        <v>24</v>
      </c>
      <c r="C14" s="1127"/>
      <c r="D14" s="33"/>
      <c r="E14" s="33"/>
      <c r="F14" s="33">
        <v>1</v>
      </c>
      <c r="G14" s="30">
        <v>1.5</v>
      </c>
      <c r="H14" s="141"/>
      <c r="I14" s="141"/>
      <c r="J14" s="141"/>
      <c r="K14" s="141"/>
      <c r="L14" s="621">
        <v>2</v>
      </c>
      <c r="M14" s="621">
        <v>2</v>
      </c>
      <c r="N14" s="621">
        <v>2</v>
      </c>
      <c r="O14" s="621">
        <v>2</v>
      </c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145">
        <v>5</v>
      </c>
      <c r="AC14" s="145">
        <v>0</v>
      </c>
      <c r="AD14" s="145">
        <v>0</v>
      </c>
      <c r="AE14" s="145">
        <v>0</v>
      </c>
      <c r="AF14" s="42" t="s">
        <v>270</v>
      </c>
      <c r="AG14" s="42" t="s">
        <v>1083</v>
      </c>
      <c r="AH14" s="145" t="s">
        <v>148</v>
      </c>
      <c r="AI14" s="145" t="s">
        <v>306</v>
      </c>
      <c r="AJ14" s="145" t="s">
        <v>100</v>
      </c>
      <c r="AK14" s="145"/>
      <c r="AL14" s="606"/>
    </row>
    <row r="15" spans="1:38" s="256" customFormat="1" ht="31.5">
      <c r="A15" s="607" t="s">
        <v>129</v>
      </c>
      <c r="B15" s="151" t="s">
        <v>26</v>
      </c>
      <c r="C15" s="1127"/>
      <c r="D15" s="33"/>
      <c r="E15" s="33"/>
      <c r="F15" s="33">
        <v>1</v>
      </c>
      <c r="G15" s="30">
        <v>1.5</v>
      </c>
      <c r="H15" s="68"/>
      <c r="I15" s="68"/>
      <c r="J15" s="68"/>
      <c r="K15" s="68"/>
      <c r="L15" s="621">
        <v>0</v>
      </c>
      <c r="M15" s="621">
        <v>0</v>
      </c>
      <c r="N15" s="621">
        <v>1</v>
      </c>
      <c r="O15" s="621">
        <v>0.75</v>
      </c>
      <c r="P15" s="621"/>
      <c r="Q15" s="621"/>
      <c r="R15" s="621"/>
      <c r="S15" s="621"/>
      <c r="T15" s="621"/>
      <c r="U15" s="621"/>
      <c r="V15" s="621"/>
      <c r="W15" s="621"/>
      <c r="X15" s="621"/>
      <c r="Y15" s="621"/>
      <c r="Z15" s="621"/>
      <c r="AA15" s="621"/>
      <c r="AB15" s="145">
        <v>5</v>
      </c>
      <c r="AC15" s="145">
        <v>0</v>
      </c>
      <c r="AD15" s="145">
        <v>0</v>
      </c>
      <c r="AE15" s="145">
        <v>0</v>
      </c>
      <c r="AF15" s="145" t="s">
        <v>271</v>
      </c>
      <c r="AG15" s="42" t="s">
        <v>897</v>
      </c>
      <c r="AH15" s="145" t="s">
        <v>272</v>
      </c>
      <c r="AI15" s="145" t="s">
        <v>306</v>
      </c>
      <c r="AJ15" s="145" t="s">
        <v>273</v>
      </c>
      <c r="AK15" s="145"/>
      <c r="AL15" s="606"/>
    </row>
    <row r="16" spans="1:38" s="256" customFormat="1" ht="15.75">
      <c r="A16" s="607" t="s">
        <v>131</v>
      </c>
      <c r="B16" s="151" t="s">
        <v>29</v>
      </c>
      <c r="C16" s="1127"/>
      <c r="D16" s="33"/>
      <c r="E16" s="33"/>
      <c r="F16" s="33">
        <v>60</v>
      </c>
      <c r="G16" s="145">
        <v>2.8</v>
      </c>
      <c r="H16" s="419"/>
      <c r="I16" s="419"/>
      <c r="J16" s="419"/>
      <c r="K16" s="419"/>
      <c r="L16" s="621">
        <v>20</v>
      </c>
      <c r="M16" s="621">
        <v>20</v>
      </c>
      <c r="N16" s="621">
        <v>20</v>
      </c>
      <c r="O16" s="621">
        <v>0.25</v>
      </c>
      <c r="P16" s="145"/>
      <c r="Q16" s="145"/>
      <c r="R16" s="145">
        <v>4</v>
      </c>
      <c r="S16" s="145">
        <v>1.5</v>
      </c>
      <c r="T16" s="630">
        <v>50</v>
      </c>
      <c r="U16" s="631">
        <v>0</v>
      </c>
      <c r="V16" s="632"/>
      <c r="W16" s="631"/>
      <c r="X16" s="631"/>
      <c r="Y16" s="631"/>
      <c r="Z16" s="631"/>
      <c r="AA16" s="631"/>
      <c r="AB16" s="145">
        <v>10</v>
      </c>
      <c r="AC16" s="5">
        <v>0</v>
      </c>
      <c r="AD16" s="145">
        <v>0</v>
      </c>
      <c r="AE16" s="145">
        <v>0</v>
      </c>
      <c r="AF16" s="145" t="s">
        <v>23</v>
      </c>
      <c r="AG16" s="145">
        <v>25</v>
      </c>
      <c r="AH16" s="145" t="s">
        <v>150</v>
      </c>
      <c r="AI16" s="145" t="s">
        <v>306</v>
      </c>
      <c r="AJ16" s="145" t="s">
        <v>275</v>
      </c>
      <c r="AK16" s="145"/>
      <c r="AL16" s="606"/>
    </row>
    <row r="17" spans="1:38" s="256" customFormat="1" ht="60">
      <c r="A17" s="607" t="s">
        <v>130</v>
      </c>
      <c r="B17" s="151" t="s">
        <v>27</v>
      </c>
      <c r="C17" s="1127"/>
      <c r="D17" s="33"/>
      <c r="E17" s="33"/>
      <c r="F17" s="33">
        <v>3</v>
      </c>
      <c r="G17" s="30">
        <v>1.5</v>
      </c>
      <c r="H17" s="68"/>
      <c r="I17" s="68"/>
      <c r="J17" s="68"/>
      <c r="K17" s="68"/>
      <c r="L17" s="621">
        <v>0</v>
      </c>
      <c r="M17" s="621">
        <v>0</v>
      </c>
      <c r="N17" s="621">
        <v>1</v>
      </c>
      <c r="O17" s="621">
        <v>0.75</v>
      </c>
      <c r="P17" s="621"/>
      <c r="Q17" s="621"/>
      <c r="R17" s="621"/>
      <c r="S17" s="621"/>
      <c r="T17" s="630">
        <v>12</v>
      </c>
      <c r="U17" s="631">
        <v>0</v>
      </c>
      <c r="V17" s="630">
        <v>16</v>
      </c>
      <c r="W17" s="631">
        <v>3.77</v>
      </c>
      <c r="X17" s="631"/>
      <c r="Y17" s="631"/>
      <c r="Z17" s="631"/>
      <c r="AA17" s="631"/>
      <c r="AB17" s="145">
        <v>0</v>
      </c>
      <c r="AC17" s="145">
        <v>0</v>
      </c>
      <c r="AD17" s="145">
        <v>225</v>
      </c>
      <c r="AE17" s="145">
        <v>1.66</v>
      </c>
      <c r="AF17" s="145" t="s">
        <v>698</v>
      </c>
      <c r="AG17" s="633" t="s">
        <v>1119</v>
      </c>
      <c r="AH17" s="145" t="s">
        <v>276</v>
      </c>
      <c r="AI17" s="145" t="s">
        <v>306</v>
      </c>
      <c r="AJ17" s="145" t="s">
        <v>107</v>
      </c>
      <c r="AK17" s="145"/>
      <c r="AL17" s="606"/>
    </row>
    <row r="18" spans="1:38" s="256" customFormat="1" ht="30">
      <c r="A18" s="607" t="s">
        <v>635</v>
      </c>
      <c r="B18" s="151" t="s">
        <v>636</v>
      </c>
      <c r="C18" s="1127"/>
      <c r="D18" s="68"/>
      <c r="E18" s="68"/>
      <c r="F18" s="68"/>
      <c r="G18" s="68"/>
      <c r="H18" s="623">
        <v>0</v>
      </c>
      <c r="I18" s="623">
        <v>0</v>
      </c>
      <c r="J18" s="623">
        <v>10</v>
      </c>
      <c r="K18" s="623">
        <v>0.12</v>
      </c>
      <c r="L18" s="563">
        <v>0</v>
      </c>
      <c r="M18" s="563">
        <v>0</v>
      </c>
      <c r="N18" s="563">
        <v>2</v>
      </c>
      <c r="O18" s="563">
        <v>0.2</v>
      </c>
      <c r="P18" s="563"/>
      <c r="Q18" s="563"/>
      <c r="R18" s="563"/>
      <c r="S18" s="563"/>
      <c r="T18" s="563"/>
      <c r="U18" s="563"/>
      <c r="V18" s="563"/>
      <c r="W18" s="563"/>
      <c r="X18" s="563"/>
      <c r="Y18" s="563"/>
      <c r="Z18" s="563"/>
      <c r="AA18" s="563"/>
      <c r="AB18" s="563"/>
      <c r="AC18" s="563"/>
      <c r="AD18" s="563"/>
      <c r="AE18" s="563"/>
      <c r="AF18" s="145" t="s">
        <v>333</v>
      </c>
      <c r="AG18" s="145">
        <v>25</v>
      </c>
      <c r="AH18" s="145" t="s">
        <v>782</v>
      </c>
      <c r="AI18" s="145" t="s">
        <v>306</v>
      </c>
      <c r="AJ18" s="145" t="s">
        <v>328</v>
      </c>
      <c r="AK18" s="145"/>
      <c r="AL18" s="606"/>
    </row>
    <row r="19" spans="1:38" s="256" customFormat="1" ht="45">
      <c r="A19" s="607" t="s">
        <v>780</v>
      </c>
      <c r="B19" s="151" t="s">
        <v>769</v>
      </c>
      <c r="C19" s="42" t="s">
        <v>781</v>
      </c>
      <c r="D19" s="42"/>
      <c r="E19" s="42"/>
      <c r="F19" s="42"/>
      <c r="G19" s="42"/>
      <c r="H19" s="42"/>
      <c r="I19" s="42"/>
      <c r="J19" s="42"/>
      <c r="K19" s="42"/>
      <c r="L19" s="621">
        <v>0</v>
      </c>
      <c r="M19" s="621">
        <v>0</v>
      </c>
      <c r="N19" s="621">
        <v>1</v>
      </c>
      <c r="O19" s="621">
        <v>0.1</v>
      </c>
      <c r="P19" s="621"/>
      <c r="Q19" s="621"/>
      <c r="R19" s="621"/>
      <c r="S19" s="621"/>
      <c r="T19" s="621"/>
      <c r="U19" s="621"/>
      <c r="V19" s="621"/>
      <c r="W19" s="621"/>
      <c r="X19" s="621"/>
      <c r="Y19" s="621"/>
      <c r="Z19" s="621"/>
      <c r="AA19" s="621"/>
      <c r="AB19" s="621"/>
      <c r="AC19" s="621"/>
      <c r="AD19" s="621"/>
      <c r="AE19" s="621"/>
      <c r="AF19" s="145" t="s">
        <v>1017</v>
      </c>
      <c r="AG19" s="145" t="s">
        <v>1120</v>
      </c>
      <c r="AH19" s="145" t="s">
        <v>782</v>
      </c>
      <c r="AI19" s="145" t="s">
        <v>306</v>
      </c>
      <c r="AJ19" s="145" t="s">
        <v>783</v>
      </c>
      <c r="AK19" s="145"/>
      <c r="AL19" s="606"/>
    </row>
    <row r="20" spans="1:38" s="256" customFormat="1" ht="15.75" hidden="1">
      <c r="A20" s="607" t="s">
        <v>139</v>
      </c>
      <c r="B20" s="151" t="s">
        <v>1018</v>
      </c>
      <c r="C20" s="6" t="s">
        <v>1019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145" t="s">
        <v>333</v>
      </c>
      <c r="AG20" s="145"/>
      <c r="AH20" s="563" t="s">
        <v>86</v>
      </c>
      <c r="AI20" s="563" t="s">
        <v>306</v>
      </c>
      <c r="AJ20" s="563" t="s">
        <v>1020</v>
      </c>
      <c r="AK20" s="634"/>
      <c r="AL20" s="606"/>
    </row>
    <row r="21" spans="1:38" s="260" customFormat="1" ht="15.75">
      <c r="A21" s="26"/>
      <c r="B21" s="1027" t="s">
        <v>30</v>
      </c>
      <c r="C21" s="1027"/>
      <c r="D21" s="153">
        <f>SUM(D6:D20)</f>
        <v>0</v>
      </c>
      <c r="E21" s="153">
        <f aca="true" t="shared" si="0" ref="E21:AE21">SUM(E6:E20)</f>
        <v>0</v>
      </c>
      <c r="F21" s="153">
        <f t="shared" si="0"/>
        <v>65</v>
      </c>
      <c r="G21" s="153">
        <f t="shared" si="0"/>
        <v>7.3</v>
      </c>
      <c r="H21" s="153">
        <f t="shared" si="0"/>
        <v>0</v>
      </c>
      <c r="I21" s="153">
        <f t="shared" si="0"/>
        <v>0</v>
      </c>
      <c r="J21" s="153">
        <f t="shared" si="0"/>
        <v>10</v>
      </c>
      <c r="K21" s="153">
        <f t="shared" si="0"/>
        <v>0.12</v>
      </c>
      <c r="L21" s="153">
        <f t="shared" si="0"/>
        <v>22</v>
      </c>
      <c r="M21" s="153">
        <f t="shared" si="0"/>
        <v>22</v>
      </c>
      <c r="N21" s="153">
        <f t="shared" si="0"/>
        <v>27</v>
      </c>
      <c r="O21" s="153">
        <f t="shared" si="0"/>
        <v>4.05</v>
      </c>
      <c r="P21" s="153">
        <f t="shared" si="0"/>
        <v>0</v>
      </c>
      <c r="Q21" s="153">
        <f t="shared" si="0"/>
        <v>0</v>
      </c>
      <c r="R21" s="153">
        <f t="shared" si="0"/>
        <v>6</v>
      </c>
      <c r="S21" s="153">
        <f t="shared" si="0"/>
        <v>2.2</v>
      </c>
      <c r="T21" s="153">
        <f t="shared" si="0"/>
        <v>70</v>
      </c>
      <c r="U21" s="153">
        <f t="shared" si="0"/>
        <v>0</v>
      </c>
      <c r="V21" s="153">
        <f t="shared" si="0"/>
        <v>24</v>
      </c>
      <c r="W21" s="153">
        <f t="shared" si="0"/>
        <v>5.21</v>
      </c>
      <c r="X21" s="153">
        <f t="shared" si="0"/>
        <v>0</v>
      </c>
      <c r="Y21" s="153">
        <f t="shared" si="0"/>
        <v>0</v>
      </c>
      <c r="Z21" s="153">
        <f t="shared" si="0"/>
        <v>0</v>
      </c>
      <c r="AA21" s="153">
        <f t="shared" si="0"/>
        <v>0</v>
      </c>
      <c r="AB21" s="153">
        <f t="shared" si="0"/>
        <v>20</v>
      </c>
      <c r="AC21" s="153">
        <f t="shared" si="0"/>
        <v>0</v>
      </c>
      <c r="AD21" s="153">
        <f t="shared" si="0"/>
        <v>225</v>
      </c>
      <c r="AE21" s="153">
        <f t="shared" si="0"/>
        <v>1.66</v>
      </c>
      <c r="AF21" s="242"/>
      <c r="AG21" s="242"/>
      <c r="AH21" s="242"/>
      <c r="AI21" s="242"/>
      <c r="AJ21" s="242"/>
      <c r="AK21" s="242"/>
      <c r="AL21" s="610"/>
    </row>
    <row r="22" spans="1:37" ht="15.75">
      <c r="A22" s="616" t="s">
        <v>123</v>
      </c>
      <c r="B22" s="1130" t="s">
        <v>124</v>
      </c>
      <c r="C22" s="1130"/>
      <c r="D22" s="1130"/>
      <c r="E22" s="1130"/>
      <c r="F22" s="1130"/>
      <c r="G22" s="1130"/>
      <c r="H22" s="1130"/>
      <c r="I22" s="1130"/>
      <c r="J22" s="1130"/>
      <c r="K22" s="1130"/>
      <c r="L22" s="1130"/>
      <c r="M22" s="1130"/>
      <c r="N22" s="1130"/>
      <c r="O22" s="1130"/>
      <c r="P22" s="1130"/>
      <c r="Q22" s="1130"/>
      <c r="R22" s="1130"/>
      <c r="S22" s="1130"/>
      <c r="T22" s="1130"/>
      <c r="U22" s="1130"/>
      <c r="V22" s="1130"/>
      <c r="W22" s="1130"/>
      <c r="X22" s="1130"/>
      <c r="Y22" s="1130"/>
      <c r="Z22" s="1130"/>
      <c r="AA22" s="1130"/>
      <c r="AB22" s="1130"/>
      <c r="AC22" s="1130"/>
      <c r="AD22" s="1130"/>
      <c r="AE22" s="1130"/>
      <c r="AF22" s="1130"/>
      <c r="AG22" s="1130"/>
      <c r="AH22" s="1130"/>
      <c r="AI22" s="1130"/>
      <c r="AJ22" s="1130"/>
      <c r="AK22" s="1130"/>
    </row>
    <row r="23" spans="1:38" s="256" customFormat="1" ht="30">
      <c r="A23" s="607" t="s">
        <v>121</v>
      </c>
      <c r="B23" s="151" t="s">
        <v>31</v>
      </c>
      <c r="C23" s="1037" t="s">
        <v>125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145"/>
      <c r="Q23" s="145"/>
      <c r="R23" s="145">
        <v>8</v>
      </c>
      <c r="S23" s="145">
        <v>4.2</v>
      </c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 t="s">
        <v>23</v>
      </c>
      <c r="AG23" s="145">
        <v>20</v>
      </c>
      <c r="AH23" s="145" t="s">
        <v>147</v>
      </c>
      <c r="AI23" s="145" t="s">
        <v>306</v>
      </c>
      <c r="AJ23" s="609" t="s">
        <v>277</v>
      </c>
      <c r="AK23" s="145"/>
      <c r="AL23" s="606"/>
    </row>
    <row r="24" spans="1:38" s="256" customFormat="1" ht="15.75">
      <c r="A24" s="607" t="s">
        <v>767</v>
      </c>
      <c r="B24" s="151" t="s">
        <v>126</v>
      </c>
      <c r="C24" s="1037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630">
        <v>15</v>
      </c>
      <c r="U24" s="631">
        <v>0</v>
      </c>
      <c r="V24" s="632"/>
      <c r="W24" s="33"/>
      <c r="X24" s="33"/>
      <c r="Y24" s="33"/>
      <c r="Z24" s="33"/>
      <c r="AA24" s="33"/>
      <c r="AB24" s="33"/>
      <c r="AC24" s="33"/>
      <c r="AD24" s="33"/>
      <c r="AE24" s="33"/>
      <c r="AF24" s="145" t="s">
        <v>12</v>
      </c>
      <c r="AG24" s="145"/>
      <c r="AH24" s="145" t="s">
        <v>1022</v>
      </c>
      <c r="AI24" s="145"/>
      <c r="AJ24" s="145" t="s">
        <v>106</v>
      </c>
      <c r="AK24" s="145"/>
      <c r="AL24" s="606"/>
    </row>
    <row r="25" spans="1:38" s="260" customFormat="1" ht="15.75">
      <c r="A25" s="26"/>
      <c r="B25" s="1027" t="s">
        <v>30</v>
      </c>
      <c r="C25" s="1027"/>
      <c r="D25" s="153">
        <f aca="true" t="shared" si="1" ref="D25:AE25">SUM(D23:D24)</f>
        <v>0</v>
      </c>
      <c r="E25" s="153">
        <f t="shared" si="1"/>
        <v>0</v>
      </c>
      <c r="F25" s="153">
        <f t="shared" si="1"/>
        <v>0</v>
      </c>
      <c r="G25" s="153">
        <f t="shared" si="1"/>
        <v>0</v>
      </c>
      <c r="H25" s="153">
        <f t="shared" si="1"/>
        <v>0</v>
      </c>
      <c r="I25" s="153">
        <f t="shared" si="1"/>
        <v>0</v>
      </c>
      <c r="J25" s="153">
        <f t="shared" si="1"/>
        <v>0</v>
      </c>
      <c r="K25" s="153">
        <f t="shared" si="1"/>
        <v>0</v>
      </c>
      <c r="L25" s="153">
        <f t="shared" si="1"/>
        <v>0</v>
      </c>
      <c r="M25" s="153">
        <f t="shared" si="1"/>
        <v>0</v>
      </c>
      <c r="N25" s="153">
        <f t="shared" si="1"/>
        <v>0</v>
      </c>
      <c r="O25" s="153">
        <f t="shared" si="1"/>
        <v>0</v>
      </c>
      <c r="P25" s="153">
        <f t="shared" si="1"/>
        <v>0</v>
      </c>
      <c r="Q25" s="153">
        <f t="shared" si="1"/>
        <v>0</v>
      </c>
      <c r="R25" s="153">
        <f t="shared" si="1"/>
        <v>8</v>
      </c>
      <c r="S25" s="153">
        <f t="shared" si="1"/>
        <v>4.2</v>
      </c>
      <c r="T25" s="153">
        <f t="shared" si="1"/>
        <v>15</v>
      </c>
      <c r="U25" s="153">
        <f t="shared" si="1"/>
        <v>0</v>
      </c>
      <c r="V25" s="153">
        <f t="shared" si="1"/>
        <v>0</v>
      </c>
      <c r="W25" s="153">
        <f t="shared" si="1"/>
        <v>0</v>
      </c>
      <c r="X25" s="153">
        <f t="shared" si="1"/>
        <v>0</v>
      </c>
      <c r="Y25" s="153">
        <f t="shared" si="1"/>
        <v>0</v>
      </c>
      <c r="Z25" s="153">
        <f t="shared" si="1"/>
        <v>0</v>
      </c>
      <c r="AA25" s="153">
        <f t="shared" si="1"/>
        <v>0</v>
      </c>
      <c r="AB25" s="153">
        <f t="shared" si="1"/>
        <v>0</v>
      </c>
      <c r="AC25" s="153">
        <f t="shared" si="1"/>
        <v>0</v>
      </c>
      <c r="AD25" s="153">
        <f t="shared" si="1"/>
        <v>0</v>
      </c>
      <c r="AE25" s="153">
        <f t="shared" si="1"/>
        <v>0</v>
      </c>
      <c r="AF25" s="242"/>
      <c r="AG25" s="242"/>
      <c r="AH25" s="242"/>
      <c r="AI25" s="242"/>
      <c r="AJ25" s="242"/>
      <c r="AK25" s="242"/>
      <c r="AL25" s="610"/>
    </row>
    <row r="26" spans="1:38" s="612" customFormat="1" ht="15.75">
      <c r="A26" s="576" t="s">
        <v>553</v>
      </c>
      <c r="B26" s="5" t="s">
        <v>38</v>
      </c>
      <c r="C26" s="6" t="s">
        <v>33</v>
      </c>
      <c r="D26" s="33"/>
      <c r="E26" s="33"/>
      <c r="F26" s="33">
        <v>8</v>
      </c>
      <c r="G26" s="30">
        <v>2.4</v>
      </c>
      <c r="H26" s="623">
        <v>30</v>
      </c>
      <c r="I26" s="621">
        <v>0</v>
      </c>
      <c r="J26" s="623">
        <v>16</v>
      </c>
      <c r="K26" s="623">
        <v>4.15</v>
      </c>
      <c r="L26" s="621">
        <v>12</v>
      </c>
      <c r="M26" s="621">
        <v>0</v>
      </c>
      <c r="N26" s="621">
        <v>12</v>
      </c>
      <c r="O26" s="621">
        <v>1.5</v>
      </c>
      <c r="P26" s="145">
        <v>16</v>
      </c>
      <c r="Q26" s="145"/>
      <c r="R26" s="145">
        <v>48</v>
      </c>
      <c r="S26" s="145">
        <v>3.6</v>
      </c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 t="s">
        <v>561</v>
      </c>
      <c r="AG26" s="145">
        <v>25</v>
      </c>
      <c r="AH26" s="145" t="s">
        <v>556</v>
      </c>
      <c r="AI26" s="145" t="s">
        <v>555</v>
      </c>
      <c r="AJ26" s="145" t="s">
        <v>554</v>
      </c>
      <c r="AK26" s="152"/>
      <c r="AL26" s="611"/>
    </row>
    <row r="27" spans="1:38" s="256" customFormat="1" ht="30" hidden="1">
      <c r="A27" s="93" t="s">
        <v>307</v>
      </c>
      <c r="B27" s="151" t="s">
        <v>32</v>
      </c>
      <c r="C27" s="1127" t="s">
        <v>33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145" t="s">
        <v>279</v>
      </c>
      <c r="AG27" s="145">
        <v>25</v>
      </c>
      <c r="AH27" s="145" t="s">
        <v>280</v>
      </c>
      <c r="AI27" s="145" t="s">
        <v>306</v>
      </c>
      <c r="AJ27" s="145" t="s">
        <v>281</v>
      </c>
      <c r="AK27" s="145"/>
      <c r="AL27" s="606"/>
    </row>
    <row r="28" spans="1:38" s="256" customFormat="1" ht="30" hidden="1">
      <c r="A28" s="93" t="s">
        <v>308</v>
      </c>
      <c r="B28" s="151" t="s">
        <v>40</v>
      </c>
      <c r="C28" s="112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145" t="s">
        <v>12</v>
      </c>
      <c r="AG28" s="145">
        <v>25</v>
      </c>
      <c r="AH28" s="145" t="s">
        <v>280</v>
      </c>
      <c r="AI28" s="145" t="s">
        <v>306</v>
      </c>
      <c r="AJ28" s="145" t="s">
        <v>281</v>
      </c>
      <c r="AK28" s="145"/>
      <c r="AL28" s="606"/>
    </row>
    <row r="29" spans="1:38" s="256" customFormat="1" ht="15.75">
      <c r="A29" s="576" t="s">
        <v>560</v>
      </c>
      <c r="B29" s="33" t="s">
        <v>32</v>
      </c>
      <c r="C29" s="108" t="s">
        <v>559</v>
      </c>
      <c r="D29" s="145"/>
      <c r="E29" s="5"/>
      <c r="F29" s="33">
        <v>8</v>
      </c>
      <c r="G29" s="30">
        <v>2.4</v>
      </c>
      <c r="H29" s="68"/>
      <c r="I29" s="68"/>
      <c r="J29" s="68"/>
      <c r="K29" s="68"/>
      <c r="L29" s="68"/>
      <c r="M29" s="68"/>
      <c r="N29" s="68"/>
      <c r="O29" s="68"/>
      <c r="P29" s="145">
        <v>48</v>
      </c>
      <c r="Q29" s="145"/>
      <c r="R29" s="145">
        <v>24</v>
      </c>
      <c r="S29" s="145">
        <v>4.8</v>
      </c>
      <c r="T29" s="631">
        <v>24</v>
      </c>
      <c r="U29" s="635">
        <v>32</v>
      </c>
      <c r="V29" s="630">
        <v>12</v>
      </c>
      <c r="W29" s="631">
        <v>4.33</v>
      </c>
      <c r="X29" s="631"/>
      <c r="Y29" s="631"/>
      <c r="Z29" s="631"/>
      <c r="AA29" s="631"/>
      <c r="AB29" s="631"/>
      <c r="AC29" s="631"/>
      <c r="AD29" s="631"/>
      <c r="AE29" s="631"/>
      <c r="AF29" s="145" t="s">
        <v>561</v>
      </c>
      <c r="AG29" s="145">
        <v>25</v>
      </c>
      <c r="AH29" s="145" t="s">
        <v>556</v>
      </c>
      <c r="AI29" s="145" t="s">
        <v>555</v>
      </c>
      <c r="AJ29" s="145" t="s">
        <v>554</v>
      </c>
      <c r="AK29" s="145"/>
      <c r="AL29" s="606"/>
    </row>
    <row r="30" spans="1:38" s="256" customFormat="1" ht="30" hidden="1">
      <c r="A30" s="93" t="s">
        <v>336</v>
      </c>
      <c r="B30" s="151" t="s">
        <v>32</v>
      </c>
      <c r="C30" s="1127" t="s">
        <v>39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145" t="s">
        <v>279</v>
      </c>
      <c r="AG30" s="145">
        <v>25</v>
      </c>
      <c r="AH30" s="145" t="s">
        <v>280</v>
      </c>
      <c r="AI30" s="145" t="s">
        <v>306</v>
      </c>
      <c r="AJ30" s="145" t="s">
        <v>281</v>
      </c>
      <c r="AK30" s="145"/>
      <c r="AL30" s="606"/>
    </row>
    <row r="31" spans="1:38" s="256" customFormat="1" ht="30" hidden="1">
      <c r="A31" s="93" t="s">
        <v>337</v>
      </c>
      <c r="B31" s="151" t="s">
        <v>40</v>
      </c>
      <c r="C31" s="1127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145" t="s">
        <v>12</v>
      </c>
      <c r="AG31" s="145">
        <v>25</v>
      </c>
      <c r="AH31" s="145" t="s">
        <v>280</v>
      </c>
      <c r="AI31" s="145" t="s">
        <v>306</v>
      </c>
      <c r="AJ31" s="145" t="s">
        <v>281</v>
      </c>
      <c r="AK31" s="145"/>
      <c r="AL31" s="606"/>
    </row>
    <row r="32" spans="1:38" s="256" customFormat="1" ht="15.75">
      <c r="A32" s="602" t="s">
        <v>132</v>
      </c>
      <c r="B32" s="151" t="s">
        <v>29</v>
      </c>
      <c r="C32" s="145" t="s">
        <v>36</v>
      </c>
      <c r="D32" s="33"/>
      <c r="E32" s="33"/>
      <c r="F32" s="33">
        <v>20</v>
      </c>
      <c r="G32" s="30">
        <v>0.6</v>
      </c>
      <c r="H32" s="68"/>
      <c r="I32" s="68"/>
      <c r="J32" s="68"/>
      <c r="K32" s="68"/>
      <c r="L32" s="621">
        <v>80</v>
      </c>
      <c r="M32" s="621">
        <v>15</v>
      </c>
      <c r="N32" s="621">
        <v>80</v>
      </c>
      <c r="O32" s="621">
        <v>0.8</v>
      </c>
      <c r="P32" s="621"/>
      <c r="Q32" s="621"/>
      <c r="R32" s="621"/>
      <c r="S32" s="621"/>
      <c r="T32" s="621"/>
      <c r="U32" s="621"/>
      <c r="V32" s="621"/>
      <c r="W32" s="621"/>
      <c r="X32" s="621"/>
      <c r="Y32" s="621"/>
      <c r="Z32" s="621"/>
      <c r="AA32" s="621"/>
      <c r="AB32" s="580">
        <v>25</v>
      </c>
      <c r="AC32" s="580">
        <v>25</v>
      </c>
      <c r="AD32" s="145">
        <v>0</v>
      </c>
      <c r="AE32" s="145">
        <v>0</v>
      </c>
      <c r="AF32" s="145" t="s">
        <v>23</v>
      </c>
      <c r="AG32" s="145">
        <v>15</v>
      </c>
      <c r="AH32" s="145" t="s">
        <v>150</v>
      </c>
      <c r="AI32" s="145" t="s">
        <v>306</v>
      </c>
      <c r="AJ32" s="145" t="s">
        <v>275</v>
      </c>
      <c r="AK32" s="145"/>
      <c r="AL32" s="606"/>
    </row>
    <row r="33" spans="1:38" s="256" customFormat="1" ht="30" hidden="1">
      <c r="A33" s="602" t="s">
        <v>687</v>
      </c>
      <c r="B33" s="151" t="s">
        <v>29</v>
      </c>
      <c r="C33" s="145" t="s">
        <v>688</v>
      </c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606"/>
    </row>
    <row r="34" spans="1:38" s="260" customFormat="1" ht="15.75">
      <c r="A34" s="26"/>
      <c r="B34" s="1027" t="s">
        <v>30</v>
      </c>
      <c r="C34" s="1027"/>
      <c r="D34" s="153">
        <f>SUM(D26:D33)</f>
        <v>0</v>
      </c>
      <c r="E34" s="153">
        <f aca="true" t="shared" si="2" ref="E34:AE34">SUM(E26:E33)</f>
        <v>0</v>
      </c>
      <c r="F34" s="153">
        <f t="shared" si="2"/>
        <v>36</v>
      </c>
      <c r="G34" s="153">
        <f t="shared" si="2"/>
        <v>5.3999999999999995</v>
      </c>
      <c r="H34" s="153">
        <f t="shared" si="2"/>
        <v>30</v>
      </c>
      <c r="I34" s="153">
        <f t="shared" si="2"/>
        <v>0</v>
      </c>
      <c r="J34" s="153">
        <f t="shared" si="2"/>
        <v>16</v>
      </c>
      <c r="K34" s="153">
        <f t="shared" si="2"/>
        <v>4.15</v>
      </c>
      <c r="L34" s="153">
        <f t="shared" si="2"/>
        <v>92</v>
      </c>
      <c r="M34" s="153">
        <f t="shared" si="2"/>
        <v>15</v>
      </c>
      <c r="N34" s="153">
        <f t="shared" si="2"/>
        <v>92</v>
      </c>
      <c r="O34" s="153">
        <f t="shared" si="2"/>
        <v>2.3</v>
      </c>
      <c r="P34" s="153">
        <f t="shared" si="2"/>
        <v>64</v>
      </c>
      <c r="Q34" s="153">
        <f t="shared" si="2"/>
        <v>0</v>
      </c>
      <c r="R34" s="153">
        <f t="shared" si="2"/>
        <v>72</v>
      </c>
      <c r="S34" s="153">
        <f t="shared" si="2"/>
        <v>8.4</v>
      </c>
      <c r="T34" s="153">
        <f t="shared" si="2"/>
        <v>24</v>
      </c>
      <c r="U34" s="153">
        <f t="shared" si="2"/>
        <v>32</v>
      </c>
      <c r="V34" s="153">
        <f t="shared" si="2"/>
        <v>12</v>
      </c>
      <c r="W34" s="153">
        <f t="shared" si="2"/>
        <v>4.33</v>
      </c>
      <c r="X34" s="153">
        <f t="shared" si="2"/>
        <v>0</v>
      </c>
      <c r="Y34" s="153">
        <f t="shared" si="2"/>
        <v>0</v>
      </c>
      <c r="Z34" s="153">
        <f t="shared" si="2"/>
        <v>0</v>
      </c>
      <c r="AA34" s="153">
        <f t="shared" si="2"/>
        <v>0</v>
      </c>
      <c r="AB34" s="153">
        <f t="shared" si="2"/>
        <v>25</v>
      </c>
      <c r="AC34" s="153">
        <f t="shared" si="2"/>
        <v>25</v>
      </c>
      <c r="AD34" s="153">
        <f t="shared" si="2"/>
        <v>0</v>
      </c>
      <c r="AE34" s="153">
        <f t="shared" si="2"/>
        <v>0</v>
      </c>
      <c r="AF34" s="242"/>
      <c r="AG34" s="242"/>
      <c r="AH34" s="242"/>
      <c r="AI34" s="242"/>
      <c r="AJ34" s="242"/>
      <c r="AK34" s="242"/>
      <c r="AL34" s="610"/>
    </row>
    <row r="35" spans="1:37" ht="15.75">
      <c r="A35" s="616" t="s">
        <v>134</v>
      </c>
      <c r="B35" s="1130" t="s">
        <v>135</v>
      </c>
      <c r="C35" s="1130"/>
      <c r="D35" s="1130"/>
      <c r="E35" s="1130"/>
      <c r="F35" s="1130"/>
      <c r="G35" s="1130"/>
      <c r="H35" s="1130"/>
      <c r="I35" s="1130"/>
      <c r="J35" s="1130"/>
      <c r="K35" s="1130"/>
      <c r="L35" s="1130"/>
      <c r="M35" s="1130"/>
      <c r="N35" s="1130"/>
      <c r="O35" s="1130"/>
      <c r="P35" s="1130"/>
      <c r="Q35" s="1130"/>
      <c r="R35" s="1130"/>
      <c r="S35" s="1130"/>
      <c r="T35" s="1130"/>
      <c r="U35" s="1130"/>
      <c r="V35" s="1130"/>
      <c r="W35" s="1130"/>
      <c r="X35" s="1130"/>
      <c r="Y35" s="1130"/>
      <c r="Z35" s="1130"/>
      <c r="AA35" s="1130"/>
      <c r="AB35" s="1130"/>
      <c r="AC35" s="1130"/>
      <c r="AD35" s="1130"/>
      <c r="AE35" s="1130"/>
      <c r="AF35" s="1130"/>
      <c r="AG35" s="1130"/>
      <c r="AH35" s="1130"/>
      <c r="AI35" s="1130"/>
      <c r="AJ35" s="1130"/>
      <c r="AK35" s="1130"/>
    </row>
    <row r="36" spans="1:38" s="256" customFormat="1" ht="31.5">
      <c r="A36" s="576" t="s">
        <v>557</v>
      </c>
      <c r="B36" s="151" t="s">
        <v>1121</v>
      </c>
      <c r="C36" s="6" t="s">
        <v>681</v>
      </c>
      <c r="D36" s="33"/>
      <c r="E36" s="33"/>
      <c r="F36" s="33">
        <v>40</v>
      </c>
      <c r="G36" s="145">
        <v>2.4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30"/>
      <c r="U36" s="631"/>
      <c r="V36" s="630">
        <v>16</v>
      </c>
      <c r="W36" s="631">
        <v>1.16</v>
      </c>
      <c r="X36" s="631"/>
      <c r="Y36" s="631"/>
      <c r="Z36" s="631"/>
      <c r="AA36" s="631"/>
      <c r="AB36" s="631"/>
      <c r="AC36" s="631"/>
      <c r="AD36" s="631"/>
      <c r="AE36" s="631"/>
      <c r="AF36" s="145" t="s">
        <v>279</v>
      </c>
      <c r="AG36" s="145" t="s">
        <v>1122</v>
      </c>
      <c r="AH36" s="563" t="s">
        <v>1123</v>
      </c>
      <c r="AI36" s="145" t="s">
        <v>555</v>
      </c>
      <c r="AJ36" s="145" t="s">
        <v>558</v>
      </c>
      <c r="AK36" s="151"/>
      <c r="AL36" s="606"/>
    </row>
    <row r="37" spans="1:38" s="256" customFormat="1" ht="31.5">
      <c r="A37" s="587" t="s">
        <v>557</v>
      </c>
      <c r="B37" s="587" t="s">
        <v>1048</v>
      </c>
      <c r="C37" s="6" t="s">
        <v>1049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145">
        <v>48</v>
      </c>
      <c r="Q37" s="145"/>
      <c r="R37" s="145">
        <v>240</v>
      </c>
      <c r="S37" s="145">
        <v>5.08</v>
      </c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 t="s">
        <v>150</v>
      </c>
      <c r="AI37" s="145" t="s">
        <v>555</v>
      </c>
      <c r="AJ37" s="145" t="s">
        <v>558</v>
      </c>
      <c r="AK37" s="151"/>
      <c r="AL37" s="606"/>
    </row>
    <row r="38" spans="1:38" s="256" customFormat="1" ht="15.75">
      <c r="A38" s="576" t="s">
        <v>557</v>
      </c>
      <c r="B38" s="151" t="s">
        <v>1051</v>
      </c>
      <c r="C38" s="6" t="s">
        <v>33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30">
        <v>200</v>
      </c>
      <c r="U38" s="631">
        <v>0</v>
      </c>
      <c r="V38" s="6"/>
      <c r="W38" s="6"/>
      <c r="X38" s="6"/>
      <c r="Y38" s="6"/>
      <c r="Z38" s="6"/>
      <c r="AA38" s="6"/>
      <c r="AB38" s="6"/>
      <c r="AC38" s="6"/>
      <c r="AD38" s="6"/>
      <c r="AE38" s="6"/>
      <c r="AF38" s="68" t="s">
        <v>37</v>
      </c>
      <c r="AG38" s="145">
        <v>25</v>
      </c>
      <c r="AH38" s="68" t="s">
        <v>297</v>
      </c>
      <c r="AI38" s="145" t="s">
        <v>555</v>
      </c>
      <c r="AJ38" s="145" t="s">
        <v>558</v>
      </c>
      <c r="AK38" s="151"/>
      <c r="AL38" s="606"/>
    </row>
    <row r="39" spans="1:38" s="256" customFormat="1" ht="60" hidden="1">
      <c r="A39" s="617" t="s">
        <v>338</v>
      </c>
      <c r="B39" s="618" t="s">
        <v>339</v>
      </c>
      <c r="C39" s="1062" t="s">
        <v>140</v>
      </c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 t="s">
        <v>279</v>
      </c>
      <c r="AG39" s="145" t="s">
        <v>1124</v>
      </c>
      <c r="AH39" s="145" t="s">
        <v>280</v>
      </c>
      <c r="AI39" s="145" t="s">
        <v>306</v>
      </c>
      <c r="AJ39" s="145" t="s">
        <v>281</v>
      </c>
      <c r="AK39" s="145"/>
      <c r="AL39" s="606"/>
    </row>
    <row r="40" spans="1:38" s="256" customFormat="1" ht="30" hidden="1">
      <c r="A40" s="617" t="s">
        <v>340</v>
      </c>
      <c r="B40" s="618" t="s">
        <v>40</v>
      </c>
      <c r="C40" s="1062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 t="s">
        <v>12</v>
      </c>
      <c r="AG40" s="145" t="s">
        <v>1125</v>
      </c>
      <c r="AH40" s="145" t="s">
        <v>280</v>
      </c>
      <c r="AI40" s="145" t="s">
        <v>306</v>
      </c>
      <c r="AJ40" s="145" t="s">
        <v>281</v>
      </c>
      <c r="AK40" s="145"/>
      <c r="AL40" s="606"/>
    </row>
    <row r="41" spans="1:38" s="256" customFormat="1" ht="30" hidden="1">
      <c r="A41" s="617" t="s">
        <v>341</v>
      </c>
      <c r="B41" s="618" t="s">
        <v>343</v>
      </c>
      <c r="C41" s="1062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 t="s">
        <v>344</v>
      </c>
      <c r="AG41" s="145" t="s">
        <v>1125</v>
      </c>
      <c r="AH41" s="145" t="s">
        <v>280</v>
      </c>
      <c r="AI41" s="145" t="s">
        <v>306</v>
      </c>
      <c r="AJ41" s="145" t="s">
        <v>281</v>
      </c>
      <c r="AK41" s="145"/>
      <c r="AL41" s="606"/>
    </row>
    <row r="42" spans="1:38" s="256" customFormat="1" ht="30" hidden="1">
      <c r="A42" s="617" t="s">
        <v>342</v>
      </c>
      <c r="B42" s="618" t="s">
        <v>345</v>
      </c>
      <c r="C42" s="1062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 t="s">
        <v>23</v>
      </c>
      <c r="AG42" s="145" t="s">
        <v>1125</v>
      </c>
      <c r="AH42" s="145" t="s">
        <v>280</v>
      </c>
      <c r="AI42" s="145" t="s">
        <v>306</v>
      </c>
      <c r="AJ42" s="145" t="s">
        <v>281</v>
      </c>
      <c r="AK42" s="145"/>
      <c r="AL42" s="606"/>
    </row>
    <row r="43" spans="1:38" s="256" customFormat="1" ht="78.75" hidden="1">
      <c r="A43" s="87" t="s">
        <v>640</v>
      </c>
      <c r="B43" s="624" t="s">
        <v>639</v>
      </c>
      <c r="C43" s="145" t="s">
        <v>638</v>
      </c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 t="s">
        <v>37</v>
      </c>
      <c r="AG43" s="145" t="s">
        <v>1126</v>
      </c>
      <c r="AH43" s="145" t="s">
        <v>643</v>
      </c>
      <c r="AI43" s="145" t="s">
        <v>306</v>
      </c>
      <c r="AJ43" s="145" t="s">
        <v>641</v>
      </c>
      <c r="AK43" s="145"/>
      <c r="AL43" s="606"/>
    </row>
    <row r="44" spans="1:38" s="256" customFormat="1" ht="47.25">
      <c r="A44" s="87" t="s">
        <v>640</v>
      </c>
      <c r="B44" s="624" t="s">
        <v>1127</v>
      </c>
      <c r="C44" s="145" t="s">
        <v>1128</v>
      </c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630">
        <v>8</v>
      </c>
      <c r="U44" s="631">
        <v>0</v>
      </c>
      <c r="V44" s="632"/>
      <c r="W44" s="631"/>
      <c r="X44" s="631"/>
      <c r="Y44" s="631"/>
      <c r="Z44" s="631"/>
      <c r="AA44" s="631"/>
      <c r="AB44" s="145">
        <v>0</v>
      </c>
      <c r="AC44" s="145">
        <v>0</v>
      </c>
      <c r="AD44" s="145">
        <v>225</v>
      </c>
      <c r="AE44" s="145">
        <v>1.66</v>
      </c>
      <c r="AF44" s="563" t="s">
        <v>575</v>
      </c>
      <c r="AG44" s="145" t="s">
        <v>1122</v>
      </c>
      <c r="AH44" s="563" t="s">
        <v>72</v>
      </c>
      <c r="AI44" s="563" t="s">
        <v>1056</v>
      </c>
      <c r="AJ44" s="563" t="s">
        <v>306</v>
      </c>
      <c r="AK44" s="145"/>
      <c r="AL44" s="606"/>
    </row>
    <row r="45" spans="1:38" s="256" customFormat="1" ht="31.5" hidden="1">
      <c r="A45" s="87" t="s">
        <v>640</v>
      </c>
      <c r="B45" s="624" t="s">
        <v>777</v>
      </c>
      <c r="C45" s="145" t="s">
        <v>778</v>
      </c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 t="s">
        <v>12</v>
      </c>
      <c r="AG45" s="145" t="s">
        <v>1129</v>
      </c>
      <c r="AH45" s="145" t="s">
        <v>610</v>
      </c>
      <c r="AI45" s="145" t="s">
        <v>548</v>
      </c>
      <c r="AJ45" s="145" t="s">
        <v>610</v>
      </c>
      <c r="AK45" s="145"/>
      <c r="AL45" s="606"/>
    </row>
    <row r="46" spans="1:38" s="256" customFormat="1" ht="15.75">
      <c r="A46" s="87" t="s">
        <v>640</v>
      </c>
      <c r="B46" s="624" t="s">
        <v>1057</v>
      </c>
      <c r="C46" s="592" t="s">
        <v>39</v>
      </c>
      <c r="D46" s="33"/>
      <c r="E46" s="33"/>
      <c r="F46" s="33">
        <v>100</v>
      </c>
      <c r="G46" s="145">
        <v>3.5</v>
      </c>
      <c r="H46" s="592"/>
      <c r="I46" s="592"/>
      <c r="J46" s="592"/>
      <c r="K46" s="592"/>
      <c r="L46" s="592"/>
      <c r="M46" s="592"/>
      <c r="N46" s="592"/>
      <c r="O46" s="592"/>
      <c r="P46" s="592"/>
      <c r="Q46" s="592"/>
      <c r="R46" s="592"/>
      <c r="S46" s="592"/>
      <c r="T46" s="592"/>
      <c r="U46" s="592"/>
      <c r="V46" s="592"/>
      <c r="W46" s="592"/>
      <c r="X46" s="592"/>
      <c r="Y46" s="592"/>
      <c r="Z46" s="592"/>
      <c r="AA46" s="592"/>
      <c r="AB46" s="592"/>
      <c r="AC46" s="592"/>
      <c r="AD46" s="592"/>
      <c r="AE46" s="592"/>
      <c r="AF46" s="145" t="s">
        <v>685</v>
      </c>
      <c r="AG46" s="41" t="s">
        <v>970</v>
      </c>
      <c r="AH46" s="145" t="s">
        <v>686</v>
      </c>
      <c r="AI46" s="145" t="s">
        <v>306</v>
      </c>
      <c r="AJ46" s="145" t="s">
        <v>306</v>
      </c>
      <c r="AK46" s="145"/>
      <c r="AL46" s="606"/>
    </row>
    <row r="47" spans="1:38" s="256" customFormat="1" ht="31.5" hidden="1">
      <c r="A47" s="602" t="s">
        <v>136</v>
      </c>
      <c r="B47" s="618" t="s">
        <v>141</v>
      </c>
      <c r="C47" s="36" t="s">
        <v>142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145" t="s">
        <v>35</v>
      </c>
      <c r="AG47" s="145">
        <v>50</v>
      </c>
      <c r="AH47" s="145" t="s">
        <v>642</v>
      </c>
      <c r="AI47" s="145" t="s">
        <v>306</v>
      </c>
      <c r="AJ47" s="145" t="s">
        <v>306</v>
      </c>
      <c r="AK47" s="145"/>
      <c r="AL47" s="606"/>
    </row>
    <row r="48" spans="1:38" s="256" customFormat="1" ht="30" hidden="1">
      <c r="A48" s="602" t="s">
        <v>136</v>
      </c>
      <c r="B48" s="618" t="s">
        <v>682</v>
      </c>
      <c r="C48" s="592" t="s">
        <v>689</v>
      </c>
      <c r="D48" s="592"/>
      <c r="E48" s="592"/>
      <c r="F48" s="592"/>
      <c r="G48" s="592"/>
      <c r="H48" s="592"/>
      <c r="I48" s="592"/>
      <c r="J48" s="592"/>
      <c r="K48" s="592"/>
      <c r="L48" s="592"/>
      <c r="M48" s="592"/>
      <c r="N48" s="592"/>
      <c r="O48" s="592"/>
      <c r="P48" s="592"/>
      <c r="Q48" s="592"/>
      <c r="R48" s="592"/>
      <c r="S48" s="592"/>
      <c r="T48" s="592"/>
      <c r="U48" s="592"/>
      <c r="V48" s="592"/>
      <c r="W48" s="592"/>
      <c r="X48" s="592"/>
      <c r="Y48" s="592"/>
      <c r="Z48" s="592"/>
      <c r="AA48" s="592"/>
      <c r="AB48" s="592"/>
      <c r="AC48" s="592"/>
      <c r="AD48" s="592"/>
      <c r="AE48" s="592"/>
      <c r="AF48" s="563" t="s">
        <v>274</v>
      </c>
      <c r="AG48" s="145" t="s">
        <v>1130</v>
      </c>
      <c r="AH48" s="563" t="s">
        <v>690</v>
      </c>
      <c r="AI48" s="145" t="s">
        <v>306</v>
      </c>
      <c r="AJ48" s="145" t="s">
        <v>306</v>
      </c>
      <c r="AK48" s="145"/>
      <c r="AL48" s="606"/>
    </row>
    <row r="49" spans="1:38" s="256" customFormat="1" ht="63">
      <c r="A49" s="602" t="s">
        <v>784</v>
      </c>
      <c r="B49" s="618" t="s">
        <v>1102</v>
      </c>
      <c r="C49" s="145" t="s">
        <v>945</v>
      </c>
      <c r="D49" s="145"/>
      <c r="E49" s="145"/>
      <c r="F49" s="145"/>
      <c r="G49" s="145"/>
      <c r="H49" s="623">
        <v>100</v>
      </c>
      <c r="I49" s="623">
        <v>84</v>
      </c>
      <c r="J49" s="623">
        <v>50</v>
      </c>
      <c r="K49" s="623">
        <v>0.37</v>
      </c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 t="s">
        <v>786</v>
      </c>
      <c r="AG49" s="145">
        <v>30</v>
      </c>
      <c r="AH49" s="145" t="s">
        <v>610</v>
      </c>
      <c r="AI49" s="145" t="s">
        <v>548</v>
      </c>
      <c r="AJ49" s="145" t="s">
        <v>610</v>
      </c>
      <c r="AK49" s="145"/>
      <c r="AL49" s="606"/>
    </row>
    <row r="50" spans="1:38" s="256" customFormat="1" ht="30" hidden="1">
      <c r="A50" s="607" t="s">
        <v>346</v>
      </c>
      <c r="B50" s="618" t="s">
        <v>349</v>
      </c>
      <c r="C50" s="36" t="s">
        <v>350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145" t="s">
        <v>333</v>
      </c>
      <c r="AG50" s="145" t="s">
        <v>1131</v>
      </c>
      <c r="AH50" s="145" t="s">
        <v>351</v>
      </c>
      <c r="AI50" s="1062" t="s">
        <v>548</v>
      </c>
      <c r="AJ50" s="145" t="s">
        <v>320</v>
      </c>
      <c r="AK50" s="145"/>
      <c r="AL50" s="606"/>
    </row>
    <row r="51" spans="1:38" s="256" customFormat="1" ht="30" hidden="1">
      <c r="A51" s="607" t="s">
        <v>347</v>
      </c>
      <c r="B51" s="618" t="s">
        <v>352</v>
      </c>
      <c r="C51" s="36" t="s">
        <v>353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145" t="s">
        <v>12</v>
      </c>
      <c r="AG51" s="145" t="s">
        <v>1132</v>
      </c>
      <c r="AH51" s="145" t="s">
        <v>280</v>
      </c>
      <c r="AI51" s="1062"/>
      <c r="AJ51" s="145" t="s">
        <v>354</v>
      </c>
      <c r="AK51" s="145"/>
      <c r="AL51" s="606"/>
    </row>
    <row r="52" spans="1:38" s="256" customFormat="1" ht="31.5" hidden="1">
      <c r="A52" s="607" t="s">
        <v>348</v>
      </c>
      <c r="B52" s="618" t="s">
        <v>355</v>
      </c>
      <c r="C52" s="36" t="s">
        <v>356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145" t="s">
        <v>15</v>
      </c>
      <c r="AG52" s="145" t="s">
        <v>1133</v>
      </c>
      <c r="AH52" s="145" t="s">
        <v>280</v>
      </c>
      <c r="AI52" s="1062"/>
      <c r="AJ52" s="145" t="s">
        <v>354</v>
      </c>
      <c r="AK52" s="145"/>
      <c r="AL52" s="606"/>
    </row>
    <row r="53" spans="1:38" s="256" customFormat="1" ht="31.5" hidden="1">
      <c r="A53" s="607" t="s">
        <v>137</v>
      </c>
      <c r="B53" s="618" t="s">
        <v>1065</v>
      </c>
      <c r="C53" s="36" t="s">
        <v>699</v>
      </c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145" t="s">
        <v>12</v>
      </c>
      <c r="AG53" s="145" t="s">
        <v>1134</v>
      </c>
      <c r="AH53" s="563" t="s">
        <v>1066</v>
      </c>
      <c r="AI53" s="145" t="s">
        <v>548</v>
      </c>
      <c r="AJ53" s="145" t="s">
        <v>313</v>
      </c>
      <c r="AK53" s="145"/>
      <c r="AL53" s="606"/>
    </row>
    <row r="54" spans="1:38" s="256" customFormat="1" ht="30" hidden="1">
      <c r="A54" s="607" t="s">
        <v>138</v>
      </c>
      <c r="B54" s="618" t="s">
        <v>144</v>
      </c>
      <c r="C54" s="36" t="s">
        <v>145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145" t="s">
        <v>15</v>
      </c>
      <c r="AG54" s="145" t="s">
        <v>1135</v>
      </c>
      <c r="AH54" s="145" t="s">
        <v>311</v>
      </c>
      <c r="AI54" s="145" t="s">
        <v>548</v>
      </c>
      <c r="AJ54" s="145" t="s">
        <v>313</v>
      </c>
      <c r="AK54" s="145"/>
      <c r="AL54" s="606"/>
    </row>
    <row r="55" spans="1:38" s="256" customFormat="1" ht="105" hidden="1">
      <c r="A55" s="607" t="s">
        <v>691</v>
      </c>
      <c r="B55" s="618" t="s">
        <v>692</v>
      </c>
      <c r="C55" s="36" t="s">
        <v>693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145" t="s">
        <v>15</v>
      </c>
      <c r="AG55" s="145" t="s">
        <v>1136</v>
      </c>
      <c r="AH55" s="563" t="s">
        <v>694</v>
      </c>
      <c r="AI55" s="145" t="s">
        <v>306</v>
      </c>
      <c r="AJ55" s="145" t="s">
        <v>306</v>
      </c>
      <c r="AK55" s="145"/>
      <c r="AL55" s="606"/>
    </row>
    <row r="56" spans="1:38" s="256" customFormat="1" ht="31.5" hidden="1">
      <c r="A56" s="607" t="s">
        <v>700</v>
      </c>
      <c r="B56" s="618" t="s">
        <v>701</v>
      </c>
      <c r="C56" s="36" t="s">
        <v>702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145"/>
      <c r="AG56" s="145"/>
      <c r="AH56" s="563"/>
      <c r="AI56" s="145"/>
      <c r="AJ56" s="145"/>
      <c r="AK56" s="145"/>
      <c r="AL56" s="606"/>
    </row>
    <row r="57" spans="1:38" s="256" customFormat="1" ht="30" hidden="1">
      <c r="A57" s="607" t="s">
        <v>139</v>
      </c>
      <c r="B57" s="618" t="s">
        <v>146</v>
      </c>
      <c r="C57" s="36" t="s">
        <v>312</v>
      </c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145" t="s">
        <v>15</v>
      </c>
      <c r="AG57" s="145" t="s">
        <v>1137</v>
      </c>
      <c r="AH57" s="145" t="s">
        <v>16</v>
      </c>
      <c r="AI57" s="145" t="s">
        <v>306</v>
      </c>
      <c r="AJ57" s="145" t="s">
        <v>313</v>
      </c>
      <c r="AK57" s="145"/>
      <c r="AL57" s="606"/>
    </row>
    <row r="58" spans="1:38" s="256" customFormat="1" ht="15.75">
      <c r="A58" s="607" t="s">
        <v>302</v>
      </c>
      <c r="B58" s="619" t="s">
        <v>303</v>
      </c>
      <c r="C58" s="108" t="s">
        <v>305</v>
      </c>
      <c r="D58" s="108"/>
      <c r="E58" s="108"/>
      <c r="F58" s="108"/>
      <c r="G58" s="108"/>
      <c r="H58" s="623">
        <v>0</v>
      </c>
      <c r="I58" s="623">
        <v>0</v>
      </c>
      <c r="J58" s="623">
        <v>4</v>
      </c>
      <c r="K58" s="623">
        <v>0.11</v>
      </c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45" t="s">
        <v>12</v>
      </c>
      <c r="AG58" s="145">
        <v>30</v>
      </c>
      <c r="AH58" s="145" t="s">
        <v>28</v>
      </c>
      <c r="AI58" s="145" t="s">
        <v>306</v>
      </c>
      <c r="AJ58" s="145" t="s">
        <v>106</v>
      </c>
      <c r="AK58" s="145"/>
      <c r="AL58" s="606"/>
    </row>
    <row r="59" spans="1:38" s="256" customFormat="1" ht="30" hidden="1">
      <c r="A59" s="576" t="s">
        <v>562</v>
      </c>
      <c r="B59" s="33" t="s">
        <v>38</v>
      </c>
      <c r="C59" s="108" t="s">
        <v>563</v>
      </c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45" t="s">
        <v>565</v>
      </c>
      <c r="AG59" s="109" t="s">
        <v>1138</v>
      </c>
      <c r="AH59" s="145" t="s">
        <v>566</v>
      </c>
      <c r="AI59" s="145" t="s">
        <v>555</v>
      </c>
      <c r="AJ59" s="145" t="s">
        <v>564</v>
      </c>
      <c r="AK59" s="145"/>
      <c r="AL59" s="606"/>
    </row>
    <row r="60" spans="1:38" s="260" customFormat="1" ht="17.25" customHeight="1" thickBot="1">
      <c r="A60" s="620"/>
      <c r="B60" s="1129" t="s">
        <v>30</v>
      </c>
      <c r="C60" s="1129"/>
      <c r="D60" s="154">
        <f aca="true" t="shared" si="3" ref="D60:AE60">SUM(D36:D59)</f>
        <v>0</v>
      </c>
      <c r="E60" s="154">
        <f t="shared" si="3"/>
        <v>0</v>
      </c>
      <c r="F60" s="154">
        <f t="shared" si="3"/>
        <v>140</v>
      </c>
      <c r="G60" s="154">
        <f t="shared" si="3"/>
        <v>5.9</v>
      </c>
      <c r="H60" s="154">
        <f t="shared" si="3"/>
        <v>100</v>
      </c>
      <c r="I60" s="154">
        <f t="shared" si="3"/>
        <v>84</v>
      </c>
      <c r="J60" s="154">
        <f t="shared" si="3"/>
        <v>54</v>
      </c>
      <c r="K60" s="154">
        <f t="shared" si="3"/>
        <v>0.48</v>
      </c>
      <c r="L60" s="154">
        <f t="shared" si="3"/>
        <v>0</v>
      </c>
      <c r="M60" s="154">
        <f t="shared" si="3"/>
        <v>0</v>
      </c>
      <c r="N60" s="154">
        <f t="shared" si="3"/>
        <v>0</v>
      </c>
      <c r="O60" s="154">
        <f t="shared" si="3"/>
        <v>0</v>
      </c>
      <c r="P60" s="154">
        <f t="shared" si="3"/>
        <v>48</v>
      </c>
      <c r="Q60" s="154">
        <f t="shared" si="3"/>
        <v>0</v>
      </c>
      <c r="R60" s="154">
        <f t="shared" si="3"/>
        <v>240</v>
      </c>
      <c r="S60" s="154">
        <f t="shared" si="3"/>
        <v>5.08</v>
      </c>
      <c r="T60" s="154">
        <f t="shared" si="3"/>
        <v>208</v>
      </c>
      <c r="U60" s="154">
        <f t="shared" si="3"/>
        <v>0</v>
      </c>
      <c r="V60" s="154">
        <f t="shared" si="3"/>
        <v>16</v>
      </c>
      <c r="W60" s="154">
        <f t="shared" si="3"/>
        <v>1.16</v>
      </c>
      <c r="X60" s="154">
        <f t="shared" si="3"/>
        <v>0</v>
      </c>
      <c r="Y60" s="154">
        <f t="shared" si="3"/>
        <v>0</v>
      </c>
      <c r="Z60" s="154">
        <f t="shared" si="3"/>
        <v>0</v>
      </c>
      <c r="AA60" s="154">
        <f t="shared" si="3"/>
        <v>0</v>
      </c>
      <c r="AB60" s="154">
        <f t="shared" si="3"/>
        <v>0</v>
      </c>
      <c r="AC60" s="154">
        <f t="shared" si="3"/>
        <v>0</v>
      </c>
      <c r="AD60" s="154">
        <f t="shared" si="3"/>
        <v>225</v>
      </c>
      <c r="AE60" s="154">
        <f t="shared" si="3"/>
        <v>1.66</v>
      </c>
      <c r="AF60" s="246"/>
      <c r="AG60" s="246"/>
      <c r="AH60" s="246"/>
      <c r="AI60" s="246"/>
      <c r="AJ60" s="246"/>
      <c r="AK60" s="636"/>
      <c r="AL60" s="610"/>
    </row>
    <row r="61" spans="1:38" s="260" customFormat="1" ht="17.25" customHeight="1" thickBot="1">
      <c r="A61" s="122"/>
      <c r="B61" s="1036" t="s">
        <v>17</v>
      </c>
      <c r="C61" s="1036"/>
      <c r="D61" s="270">
        <f>SUM(D21,D25,D34,D60)</f>
        <v>0</v>
      </c>
      <c r="E61" s="270">
        <f aca="true" t="shared" si="4" ref="E61:AE61">SUM(E21,E25,E34,E60)</f>
        <v>0</v>
      </c>
      <c r="F61" s="270">
        <f t="shared" si="4"/>
        <v>241</v>
      </c>
      <c r="G61" s="270">
        <f t="shared" si="4"/>
        <v>18.6</v>
      </c>
      <c r="H61" s="270">
        <f t="shared" si="4"/>
        <v>130</v>
      </c>
      <c r="I61" s="270">
        <f t="shared" si="4"/>
        <v>84</v>
      </c>
      <c r="J61" s="270">
        <f t="shared" si="4"/>
        <v>80</v>
      </c>
      <c r="K61" s="270">
        <f t="shared" si="4"/>
        <v>4.75</v>
      </c>
      <c r="L61" s="270">
        <f t="shared" si="4"/>
        <v>114</v>
      </c>
      <c r="M61" s="270">
        <f t="shared" si="4"/>
        <v>37</v>
      </c>
      <c r="N61" s="270">
        <f t="shared" si="4"/>
        <v>119</v>
      </c>
      <c r="O61" s="270">
        <f t="shared" si="4"/>
        <v>6.35</v>
      </c>
      <c r="P61" s="270">
        <f t="shared" si="4"/>
        <v>112</v>
      </c>
      <c r="Q61" s="270">
        <f t="shared" si="4"/>
        <v>0</v>
      </c>
      <c r="R61" s="270">
        <f t="shared" si="4"/>
        <v>326</v>
      </c>
      <c r="S61" s="270">
        <f t="shared" si="4"/>
        <v>19.880000000000003</v>
      </c>
      <c r="T61" s="270">
        <f t="shared" si="4"/>
        <v>317</v>
      </c>
      <c r="U61" s="270">
        <f t="shared" si="4"/>
        <v>32</v>
      </c>
      <c r="V61" s="270">
        <f t="shared" si="4"/>
        <v>52</v>
      </c>
      <c r="W61" s="270">
        <f t="shared" si="4"/>
        <v>10.7</v>
      </c>
      <c r="X61" s="270">
        <f t="shared" si="4"/>
        <v>0</v>
      </c>
      <c r="Y61" s="270">
        <f t="shared" si="4"/>
        <v>0</v>
      </c>
      <c r="Z61" s="270">
        <f t="shared" si="4"/>
        <v>0</v>
      </c>
      <c r="AA61" s="270">
        <f t="shared" si="4"/>
        <v>0</v>
      </c>
      <c r="AB61" s="270">
        <f t="shared" si="4"/>
        <v>45</v>
      </c>
      <c r="AC61" s="270">
        <f t="shared" si="4"/>
        <v>25</v>
      </c>
      <c r="AD61" s="270">
        <f t="shared" si="4"/>
        <v>450</v>
      </c>
      <c r="AE61" s="270">
        <f t="shared" si="4"/>
        <v>3.32</v>
      </c>
      <c r="AF61" s="165"/>
      <c r="AG61" s="165"/>
      <c r="AH61" s="165"/>
      <c r="AI61" s="165"/>
      <c r="AJ61" s="165"/>
      <c r="AK61" s="124"/>
      <c r="AL61" s="610"/>
    </row>
    <row r="62" ht="17.25" customHeight="1">
      <c r="B62" s="19"/>
    </row>
  </sheetData>
  <sheetProtection/>
  <mergeCells count="45">
    <mergeCell ref="B34:C34"/>
    <mergeCell ref="B35:AK35"/>
    <mergeCell ref="C39:C42"/>
    <mergeCell ref="AI50:AI52"/>
    <mergeCell ref="B60:C60"/>
    <mergeCell ref="B61:C61"/>
    <mergeCell ref="B21:C21"/>
    <mergeCell ref="B22:AK22"/>
    <mergeCell ref="C23:C24"/>
    <mergeCell ref="B25:C25"/>
    <mergeCell ref="C27:C28"/>
    <mergeCell ref="C30:C31"/>
    <mergeCell ref="AG4:AG5"/>
    <mergeCell ref="AH4:AH5"/>
    <mergeCell ref="AI4:AI5"/>
    <mergeCell ref="AJ4:AJ5"/>
    <mergeCell ref="AK4:AK5"/>
    <mergeCell ref="C12:C18"/>
    <mergeCell ref="V4:W4"/>
    <mergeCell ref="X4:Y4"/>
    <mergeCell ref="Z4:AA4"/>
    <mergeCell ref="AB4:AC4"/>
    <mergeCell ref="AD4:AE4"/>
    <mergeCell ref="AF4:AF5"/>
    <mergeCell ref="J4:K4"/>
    <mergeCell ref="L4:M4"/>
    <mergeCell ref="N4:O4"/>
    <mergeCell ref="P4:Q4"/>
    <mergeCell ref="R4:S4"/>
    <mergeCell ref="T4:U4"/>
    <mergeCell ref="A4:A5"/>
    <mergeCell ref="B4:B5"/>
    <mergeCell ref="C4:C5"/>
    <mergeCell ref="D4:E4"/>
    <mergeCell ref="F4:G4"/>
    <mergeCell ref="H4:I4"/>
    <mergeCell ref="A1:AK1"/>
    <mergeCell ref="A2:AK2"/>
    <mergeCell ref="D3:G3"/>
    <mergeCell ref="H3:K3"/>
    <mergeCell ref="L3:O3"/>
    <mergeCell ref="P3:S3"/>
    <mergeCell ref="T3:W3"/>
    <mergeCell ref="X3:AA3"/>
    <mergeCell ref="AB3:A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68"/>
  <sheetViews>
    <sheetView zoomScale="73" zoomScaleNormal="73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36.8515625" defaultRowHeight="15"/>
  <cols>
    <col min="1" max="1" width="15.28125" style="251" customWidth="1"/>
    <col min="2" max="2" width="25.421875" style="293" customWidth="1"/>
    <col min="3" max="3" width="21.7109375" style="27" customWidth="1"/>
    <col min="4" max="4" width="11.140625" style="27" customWidth="1"/>
    <col min="5" max="5" width="6.28125" style="27" customWidth="1"/>
    <col min="6" max="6" width="8.421875" style="27" customWidth="1"/>
    <col min="7" max="15" width="8.7109375" style="27" customWidth="1"/>
    <col min="16" max="16" width="7.140625" style="27" customWidth="1"/>
    <col min="17" max="17" width="7.00390625" style="27" customWidth="1"/>
    <col min="18" max="18" width="8.421875" style="27" customWidth="1"/>
    <col min="19" max="19" width="10.57421875" style="27" customWidth="1"/>
    <col min="20" max="20" width="7.28125" style="27" customWidth="1"/>
    <col min="21" max="21" width="7.140625" style="27" customWidth="1"/>
    <col min="22" max="22" width="7.28125" style="27" customWidth="1"/>
    <col min="23" max="29" width="7.8515625" style="27" customWidth="1"/>
    <col min="30" max="30" width="11.140625" style="27" customWidth="1"/>
    <col min="31" max="31" width="7.8515625" style="27" customWidth="1"/>
    <col min="32" max="33" width="9.00390625" style="12" customWidth="1"/>
    <col min="34" max="34" width="9.8515625" style="8" customWidth="1"/>
    <col min="35" max="47" width="10.28125" style="8" customWidth="1"/>
    <col min="48" max="48" width="10.57421875" style="12" customWidth="1"/>
    <col min="49" max="49" width="24.140625" style="12" customWidth="1"/>
    <col min="50" max="50" width="23.7109375" style="12" customWidth="1"/>
    <col min="51" max="51" width="12.7109375" style="12" customWidth="1"/>
    <col min="52" max="52" width="40.140625" style="12" customWidth="1"/>
    <col min="53" max="16384" width="36.8515625" style="8" customWidth="1"/>
  </cols>
  <sheetData>
    <row r="1" spans="1:52" s="4" customFormat="1" ht="23.25" customHeight="1" thickBot="1">
      <c r="A1" s="1162" t="s">
        <v>42</v>
      </c>
      <c r="B1" s="1163"/>
      <c r="C1" s="1163"/>
      <c r="D1" s="1163"/>
      <c r="E1" s="1163"/>
      <c r="F1" s="1163"/>
      <c r="G1" s="1163"/>
      <c r="H1" s="1163"/>
      <c r="I1" s="1163"/>
      <c r="J1" s="1163"/>
      <c r="K1" s="1163"/>
      <c r="L1" s="1163"/>
      <c r="M1" s="1163"/>
      <c r="N1" s="1163"/>
      <c r="O1" s="1163"/>
      <c r="P1" s="1163"/>
      <c r="Q1" s="1163"/>
      <c r="R1" s="1163"/>
      <c r="S1" s="1163"/>
      <c r="T1" s="1163"/>
      <c r="U1" s="1163"/>
      <c r="V1" s="1163"/>
      <c r="W1" s="1163"/>
      <c r="X1" s="1163"/>
      <c r="Y1" s="1163"/>
      <c r="Z1" s="1163"/>
      <c r="AA1" s="1163"/>
      <c r="AB1" s="1163"/>
      <c r="AC1" s="1163"/>
      <c r="AD1" s="1163"/>
      <c r="AE1" s="1163"/>
      <c r="AF1" s="1163"/>
      <c r="AG1" s="1163"/>
      <c r="AH1" s="1163"/>
      <c r="AI1" s="1163"/>
      <c r="AJ1" s="1163"/>
      <c r="AK1" s="1163"/>
      <c r="AL1" s="1163"/>
      <c r="AM1" s="1163"/>
      <c r="AN1" s="1163"/>
      <c r="AO1" s="1163"/>
      <c r="AP1" s="1163"/>
      <c r="AQ1" s="1163"/>
      <c r="AR1" s="1163"/>
      <c r="AS1" s="1163"/>
      <c r="AT1" s="1163"/>
      <c r="AU1" s="1163"/>
      <c r="AV1" s="1163"/>
      <c r="AW1" s="1163"/>
      <c r="AX1" s="1163"/>
      <c r="AY1" s="1163"/>
      <c r="AZ1" s="1164"/>
    </row>
    <row r="2" spans="1:52" s="1" customFormat="1" ht="28.5" customHeight="1" thickBot="1">
      <c r="A2" s="1112" t="s">
        <v>550</v>
      </c>
      <c r="B2" s="1113"/>
      <c r="C2" s="1113"/>
      <c r="D2" s="1113"/>
      <c r="E2" s="1113"/>
      <c r="F2" s="1113"/>
      <c r="G2" s="1113"/>
      <c r="H2" s="1113"/>
      <c r="I2" s="1113"/>
      <c r="J2" s="1113"/>
      <c r="K2" s="1113"/>
      <c r="L2" s="1113"/>
      <c r="M2" s="1113"/>
      <c r="N2" s="1113"/>
      <c r="O2" s="1113"/>
      <c r="P2" s="1113"/>
      <c r="Q2" s="1113"/>
      <c r="R2" s="1113"/>
      <c r="S2" s="1113"/>
      <c r="T2" s="1113"/>
      <c r="U2" s="1113"/>
      <c r="V2" s="1113"/>
      <c r="W2" s="1113"/>
      <c r="X2" s="1113"/>
      <c r="Y2" s="1113"/>
      <c r="Z2" s="1113"/>
      <c r="AA2" s="1113"/>
      <c r="AB2" s="1113"/>
      <c r="AC2" s="1113"/>
      <c r="AD2" s="1113"/>
      <c r="AE2" s="1113"/>
      <c r="AF2" s="1113"/>
      <c r="AG2" s="1113"/>
      <c r="AH2" s="1113"/>
      <c r="AI2" s="1113"/>
      <c r="AJ2" s="1113"/>
      <c r="AK2" s="1113"/>
      <c r="AL2" s="1113"/>
      <c r="AM2" s="1113"/>
      <c r="AN2" s="1113"/>
      <c r="AO2" s="1113"/>
      <c r="AP2" s="1113"/>
      <c r="AQ2" s="1113"/>
      <c r="AR2" s="1113"/>
      <c r="AS2" s="1113"/>
      <c r="AT2" s="1113"/>
      <c r="AU2" s="1113"/>
      <c r="AV2" s="1113"/>
      <c r="AW2" s="1113"/>
      <c r="AX2" s="1113"/>
      <c r="AY2" s="1113"/>
      <c r="AZ2" s="1169"/>
    </row>
    <row r="3" spans="1:52" s="1" customFormat="1" ht="28.5" customHeight="1" thickBot="1">
      <c r="A3" s="1180"/>
      <c r="B3" s="1115"/>
      <c r="C3" s="1116"/>
      <c r="D3" s="1114" t="s">
        <v>884</v>
      </c>
      <c r="E3" s="1115"/>
      <c r="F3" s="1115"/>
      <c r="G3" s="1116"/>
      <c r="H3" s="1114" t="s">
        <v>907</v>
      </c>
      <c r="I3" s="1115"/>
      <c r="J3" s="1115"/>
      <c r="K3" s="1116"/>
      <c r="L3" s="1114" t="s">
        <v>908</v>
      </c>
      <c r="M3" s="1115"/>
      <c r="N3" s="1115"/>
      <c r="O3" s="1116"/>
      <c r="P3" s="1114" t="s">
        <v>552</v>
      </c>
      <c r="Q3" s="1115"/>
      <c r="R3" s="1115"/>
      <c r="S3" s="1116"/>
      <c r="T3" s="1114" t="s">
        <v>633</v>
      </c>
      <c r="U3" s="1115"/>
      <c r="V3" s="1115"/>
      <c r="W3" s="1116"/>
      <c r="X3" s="1114" t="s">
        <v>916</v>
      </c>
      <c r="Y3" s="1115"/>
      <c r="Z3" s="1115"/>
      <c r="AA3" s="1116"/>
      <c r="AB3" s="1114" t="s">
        <v>676</v>
      </c>
      <c r="AC3" s="1115"/>
      <c r="AD3" s="1115"/>
      <c r="AE3" s="1116"/>
      <c r="AF3" s="1114" t="s">
        <v>1</v>
      </c>
      <c r="AG3" s="1115"/>
      <c r="AH3" s="1115"/>
      <c r="AI3" s="1116"/>
      <c r="AJ3" s="1114" t="s">
        <v>551</v>
      </c>
      <c r="AK3" s="1115"/>
      <c r="AL3" s="1115"/>
      <c r="AM3" s="1116"/>
      <c r="AN3" s="1114" t="s">
        <v>854</v>
      </c>
      <c r="AO3" s="1115"/>
      <c r="AP3" s="1115"/>
      <c r="AQ3" s="1116"/>
      <c r="AR3" s="1114" t="s">
        <v>947</v>
      </c>
      <c r="AS3" s="1115"/>
      <c r="AT3" s="1115"/>
      <c r="AU3" s="1116"/>
      <c r="AV3" s="1114"/>
      <c r="AW3" s="1115"/>
      <c r="AX3" s="1115"/>
      <c r="AY3" s="1115"/>
      <c r="AZ3" s="1157"/>
    </row>
    <row r="4" spans="1:52" s="7" customFormat="1" ht="21" customHeight="1">
      <c r="A4" s="1165" t="s">
        <v>116</v>
      </c>
      <c r="B4" s="1051" t="s">
        <v>43</v>
      </c>
      <c r="C4" s="1051" t="s">
        <v>20</v>
      </c>
      <c r="D4" s="1117" t="s">
        <v>112</v>
      </c>
      <c r="E4" s="1117"/>
      <c r="F4" s="1117" t="s">
        <v>113</v>
      </c>
      <c r="G4" s="1117"/>
      <c r="H4" s="1117" t="s">
        <v>112</v>
      </c>
      <c r="I4" s="1117"/>
      <c r="J4" s="1117" t="s">
        <v>113</v>
      </c>
      <c r="K4" s="1117"/>
      <c r="L4" s="1117" t="s">
        <v>112</v>
      </c>
      <c r="M4" s="1117"/>
      <c r="N4" s="1117" t="s">
        <v>113</v>
      </c>
      <c r="O4" s="1117"/>
      <c r="P4" s="1117" t="s">
        <v>112</v>
      </c>
      <c r="Q4" s="1117"/>
      <c r="R4" s="1117" t="s">
        <v>113</v>
      </c>
      <c r="S4" s="1117"/>
      <c r="T4" s="1117" t="s">
        <v>112</v>
      </c>
      <c r="U4" s="1117"/>
      <c r="V4" s="1117" t="s">
        <v>113</v>
      </c>
      <c r="W4" s="1117"/>
      <c r="X4" s="1117" t="s">
        <v>112</v>
      </c>
      <c r="Y4" s="1117"/>
      <c r="Z4" s="1117" t="s">
        <v>113</v>
      </c>
      <c r="AA4" s="1117"/>
      <c r="AB4" s="1117" t="s">
        <v>112</v>
      </c>
      <c r="AC4" s="1117"/>
      <c r="AD4" s="1117" t="s">
        <v>113</v>
      </c>
      <c r="AE4" s="1117"/>
      <c r="AF4" s="1117" t="s">
        <v>112</v>
      </c>
      <c r="AG4" s="1117"/>
      <c r="AH4" s="1117" t="s">
        <v>113</v>
      </c>
      <c r="AI4" s="1117"/>
      <c r="AJ4" s="1117" t="s">
        <v>112</v>
      </c>
      <c r="AK4" s="1117"/>
      <c r="AL4" s="1117" t="s">
        <v>113</v>
      </c>
      <c r="AM4" s="1117"/>
      <c r="AN4" s="1117" t="s">
        <v>112</v>
      </c>
      <c r="AO4" s="1117"/>
      <c r="AP4" s="1117" t="s">
        <v>113</v>
      </c>
      <c r="AQ4" s="1117"/>
      <c r="AR4" s="1117" t="s">
        <v>112</v>
      </c>
      <c r="AS4" s="1117"/>
      <c r="AT4" s="1117" t="s">
        <v>113</v>
      </c>
      <c r="AU4" s="1117"/>
      <c r="AV4" s="1117" t="s">
        <v>4</v>
      </c>
      <c r="AW4" s="1117" t="s">
        <v>122</v>
      </c>
      <c r="AX4" s="1117" t="s">
        <v>5</v>
      </c>
      <c r="AY4" s="1119" t="s">
        <v>83</v>
      </c>
      <c r="AZ4" s="1158" t="s">
        <v>84</v>
      </c>
    </row>
    <row r="5" spans="1:52" s="7" customFormat="1" ht="89.25" customHeight="1" thickBot="1">
      <c r="A5" s="1166"/>
      <c r="B5" s="1052"/>
      <c r="C5" s="1052"/>
      <c r="D5" s="25" t="s">
        <v>6</v>
      </c>
      <c r="E5" s="25" t="s">
        <v>7</v>
      </c>
      <c r="F5" s="25" t="s">
        <v>6</v>
      </c>
      <c r="G5" s="25" t="s">
        <v>96</v>
      </c>
      <c r="H5" s="25" t="s">
        <v>6</v>
      </c>
      <c r="I5" s="25" t="s">
        <v>7</v>
      </c>
      <c r="J5" s="25" t="s">
        <v>6</v>
      </c>
      <c r="K5" s="25" t="s">
        <v>96</v>
      </c>
      <c r="L5" s="25" t="s">
        <v>6</v>
      </c>
      <c r="M5" s="25" t="s">
        <v>7</v>
      </c>
      <c r="N5" s="25" t="s">
        <v>6</v>
      </c>
      <c r="O5" s="25" t="s">
        <v>96</v>
      </c>
      <c r="P5" s="25" t="s">
        <v>6</v>
      </c>
      <c r="Q5" s="25" t="s">
        <v>7</v>
      </c>
      <c r="R5" s="25" t="s">
        <v>6</v>
      </c>
      <c r="S5" s="25" t="s">
        <v>96</v>
      </c>
      <c r="T5" s="25" t="s">
        <v>6</v>
      </c>
      <c r="U5" s="25" t="s">
        <v>7</v>
      </c>
      <c r="V5" s="25" t="s">
        <v>6</v>
      </c>
      <c r="W5" s="25" t="s">
        <v>96</v>
      </c>
      <c r="X5" s="25" t="s">
        <v>6</v>
      </c>
      <c r="Y5" s="25" t="s">
        <v>7</v>
      </c>
      <c r="Z5" s="25" t="s">
        <v>6</v>
      </c>
      <c r="AA5" s="25" t="s">
        <v>96</v>
      </c>
      <c r="AB5" s="25" t="s">
        <v>6</v>
      </c>
      <c r="AC5" s="25" t="s">
        <v>7</v>
      </c>
      <c r="AD5" s="25" t="s">
        <v>6</v>
      </c>
      <c r="AE5" s="25" t="s">
        <v>96</v>
      </c>
      <c r="AF5" s="25" t="s">
        <v>6</v>
      </c>
      <c r="AG5" s="25" t="s">
        <v>7</v>
      </c>
      <c r="AH5" s="25" t="s">
        <v>6</v>
      </c>
      <c r="AI5" s="25" t="s">
        <v>96</v>
      </c>
      <c r="AJ5" s="25" t="s">
        <v>6</v>
      </c>
      <c r="AK5" s="25" t="s">
        <v>7</v>
      </c>
      <c r="AL5" s="25" t="s">
        <v>6</v>
      </c>
      <c r="AM5" s="25" t="s">
        <v>96</v>
      </c>
      <c r="AN5" s="25" t="s">
        <v>6</v>
      </c>
      <c r="AO5" s="25" t="s">
        <v>7</v>
      </c>
      <c r="AP5" s="25" t="s">
        <v>6</v>
      </c>
      <c r="AQ5" s="25" t="s">
        <v>96</v>
      </c>
      <c r="AR5" s="25" t="s">
        <v>6</v>
      </c>
      <c r="AS5" s="25" t="s">
        <v>7</v>
      </c>
      <c r="AT5" s="25" t="s">
        <v>6</v>
      </c>
      <c r="AU5" s="25" t="s">
        <v>96</v>
      </c>
      <c r="AV5" s="1118"/>
      <c r="AW5" s="1118"/>
      <c r="AX5" s="1118"/>
      <c r="AY5" s="1120"/>
      <c r="AZ5" s="1159"/>
    </row>
    <row r="6" spans="1:52" ht="15.75">
      <c r="A6" s="183"/>
      <c r="B6" s="146" t="s">
        <v>60</v>
      </c>
      <c r="C6" s="1033" t="s">
        <v>22</v>
      </c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55"/>
      <c r="AE6" s="55"/>
      <c r="AF6" s="55">
        <v>0</v>
      </c>
      <c r="AG6" s="55">
        <v>96</v>
      </c>
      <c r="AH6" s="55"/>
      <c r="AI6" s="55"/>
      <c r="AJ6" s="55"/>
      <c r="AK6" s="55"/>
      <c r="AL6" s="55"/>
      <c r="AM6" s="55"/>
      <c r="AN6" s="115"/>
      <c r="AO6" s="115"/>
      <c r="AP6" s="115"/>
      <c r="AQ6" s="115"/>
      <c r="AR6" s="115"/>
      <c r="AS6" s="115"/>
      <c r="AT6" s="115"/>
      <c r="AU6" s="115"/>
      <c r="AV6" s="150"/>
      <c r="AW6" s="150"/>
      <c r="AX6" s="150"/>
      <c r="AY6" s="150"/>
      <c r="AZ6" s="238"/>
    </row>
    <row r="7" spans="1:52" s="3" customFormat="1" ht="30">
      <c r="A7" s="177" t="s">
        <v>164</v>
      </c>
      <c r="B7" s="151" t="s">
        <v>44</v>
      </c>
      <c r="C7" s="1062"/>
      <c r="D7" s="145"/>
      <c r="E7" s="145"/>
      <c r="F7" s="145"/>
      <c r="G7" s="145"/>
      <c r="H7" s="91">
        <v>80</v>
      </c>
      <c r="I7" s="2">
        <v>123</v>
      </c>
      <c r="J7" s="91">
        <v>96</v>
      </c>
      <c r="K7" s="2">
        <v>12</v>
      </c>
      <c r="L7" s="145">
        <v>48</v>
      </c>
      <c r="M7" s="145">
        <v>31</v>
      </c>
      <c r="N7" s="55">
        <v>64</v>
      </c>
      <c r="O7" s="145">
        <v>11.69</v>
      </c>
      <c r="P7" s="145"/>
      <c r="Q7" s="145"/>
      <c r="R7" s="55">
        <v>192</v>
      </c>
      <c r="S7" s="55">
        <v>17.56</v>
      </c>
      <c r="T7" s="2">
        <v>64</v>
      </c>
      <c r="U7" s="2">
        <v>40</v>
      </c>
      <c r="V7" s="145">
        <v>64</v>
      </c>
      <c r="W7" s="145">
        <v>7.15</v>
      </c>
      <c r="X7" s="2"/>
      <c r="Y7" s="2"/>
      <c r="Z7" s="2"/>
      <c r="AA7" s="2"/>
      <c r="AB7" s="203">
        <v>98</v>
      </c>
      <c r="AC7" s="203">
        <v>68</v>
      </c>
      <c r="AD7" s="55">
        <v>96</v>
      </c>
      <c r="AE7" s="55">
        <v>14.08</v>
      </c>
      <c r="AF7" s="55">
        <v>250</v>
      </c>
      <c r="AG7" s="55">
        <v>80</v>
      </c>
      <c r="AH7" s="55">
        <v>150</v>
      </c>
      <c r="AI7" s="55">
        <v>33.9</v>
      </c>
      <c r="AJ7" s="55">
        <v>160</v>
      </c>
      <c r="AK7" s="55">
        <v>70</v>
      </c>
      <c r="AL7" s="55">
        <v>200</v>
      </c>
      <c r="AM7" s="55">
        <v>15.45</v>
      </c>
      <c r="AN7" s="168">
        <v>10</v>
      </c>
      <c r="AO7" s="168">
        <v>7</v>
      </c>
      <c r="AP7" s="168">
        <v>144</v>
      </c>
      <c r="AQ7" s="168">
        <v>22.22</v>
      </c>
      <c r="AR7" s="168"/>
      <c r="AS7" s="168"/>
      <c r="AT7" s="168"/>
      <c r="AU7" s="168"/>
      <c r="AV7" s="145" t="s">
        <v>45</v>
      </c>
      <c r="AW7" s="145">
        <v>16</v>
      </c>
      <c r="AX7" s="145" t="s">
        <v>163</v>
      </c>
      <c r="AY7" s="145" t="s">
        <v>306</v>
      </c>
      <c r="AZ7" s="116" t="s">
        <v>282</v>
      </c>
    </row>
    <row r="8" spans="1:52" ht="15.75">
      <c r="A8" s="177" t="s">
        <v>169</v>
      </c>
      <c r="B8" s="152" t="s">
        <v>51</v>
      </c>
      <c r="C8" s="1062"/>
      <c r="D8" s="112">
        <v>1344</v>
      </c>
      <c r="E8" s="112">
        <v>89</v>
      </c>
      <c r="F8" s="112">
        <v>1312</v>
      </c>
      <c r="G8" s="112">
        <v>30.23</v>
      </c>
      <c r="H8" s="112">
        <v>288</v>
      </c>
      <c r="I8" s="112">
        <v>23</v>
      </c>
      <c r="J8" s="138">
        <v>192</v>
      </c>
      <c r="K8" s="138">
        <v>34.2</v>
      </c>
      <c r="L8" s="145">
        <v>320</v>
      </c>
      <c r="M8" s="145">
        <v>168</v>
      </c>
      <c r="N8" s="145">
        <v>384</v>
      </c>
      <c r="O8" s="145">
        <v>11.59</v>
      </c>
      <c r="P8" s="55">
        <v>180</v>
      </c>
      <c r="Q8" s="145">
        <v>46</v>
      </c>
      <c r="R8" s="55">
        <v>384</v>
      </c>
      <c r="S8" s="55">
        <v>11.45</v>
      </c>
      <c r="T8" s="2">
        <v>704</v>
      </c>
      <c r="U8" s="2">
        <v>652</v>
      </c>
      <c r="V8" s="145">
        <v>704</v>
      </c>
      <c r="W8" s="145">
        <v>13.11</v>
      </c>
      <c r="X8" s="2"/>
      <c r="Y8" s="2"/>
      <c r="Z8" s="2"/>
      <c r="AA8" s="2"/>
      <c r="AB8" s="145">
        <v>1530</v>
      </c>
      <c r="AC8" s="145">
        <v>517</v>
      </c>
      <c r="AD8" s="55">
        <v>1632</v>
      </c>
      <c r="AE8" s="55">
        <v>45.98</v>
      </c>
      <c r="AF8" s="55">
        <v>368</v>
      </c>
      <c r="AG8" s="55">
        <v>1328</v>
      </c>
      <c r="AH8" s="55">
        <v>100</v>
      </c>
      <c r="AI8" s="55">
        <v>5</v>
      </c>
      <c r="AJ8" s="55" t="s">
        <v>610</v>
      </c>
      <c r="AK8" s="55" t="s">
        <v>610</v>
      </c>
      <c r="AL8" s="55">
        <v>1088</v>
      </c>
      <c r="AM8" s="55">
        <v>15.1</v>
      </c>
      <c r="AN8" s="55"/>
      <c r="AO8" s="55"/>
      <c r="AP8" s="55"/>
      <c r="AQ8" s="55"/>
      <c r="AR8" s="55"/>
      <c r="AS8" s="55"/>
      <c r="AT8" s="55"/>
      <c r="AU8" s="55"/>
      <c r="AV8" s="145" t="s">
        <v>168</v>
      </c>
      <c r="AW8" s="145">
        <v>30</v>
      </c>
      <c r="AX8" s="145" t="s">
        <v>167</v>
      </c>
      <c r="AY8" s="145" t="s">
        <v>306</v>
      </c>
      <c r="AZ8" s="117" t="s">
        <v>283</v>
      </c>
    </row>
    <row r="9" spans="1:52" ht="45">
      <c r="A9" s="177" t="s">
        <v>934</v>
      </c>
      <c r="B9" s="152" t="s">
        <v>151</v>
      </c>
      <c r="C9" s="1062"/>
      <c r="D9" s="112"/>
      <c r="E9" s="112"/>
      <c r="F9" s="112"/>
      <c r="G9" s="112"/>
      <c r="H9" s="112"/>
      <c r="I9" s="112"/>
      <c r="J9" s="138"/>
      <c r="K9" s="138"/>
      <c r="L9" s="55" t="s">
        <v>927</v>
      </c>
      <c r="M9" s="55"/>
      <c r="N9" s="145">
        <v>122</v>
      </c>
      <c r="O9" s="145">
        <v>8.54</v>
      </c>
      <c r="P9" s="55"/>
      <c r="Q9" s="145"/>
      <c r="R9" s="55"/>
      <c r="S9" s="55"/>
      <c r="T9" s="2"/>
      <c r="U9" s="2"/>
      <c r="V9" s="145"/>
      <c r="W9" s="145"/>
      <c r="X9" s="2"/>
      <c r="Y9" s="2"/>
      <c r="Z9" s="2"/>
      <c r="AA9" s="2"/>
      <c r="AB9" s="145"/>
      <c r="AC9" s="14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145" t="s">
        <v>81</v>
      </c>
      <c r="AW9" s="145">
        <v>10</v>
      </c>
      <c r="AX9" s="55" t="s">
        <v>935</v>
      </c>
      <c r="AY9" s="145" t="s">
        <v>306</v>
      </c>
      <c r="AZ9" s="117" t="s">
        <v>306</v>
      </c>
    </row>
    <row r="10" spans="1:52" ht="45">
      <c r="A10" s="177" t="s">
        <v>166</v>
      </c>
      <c r="B10" s="152" t="s">
        <v>151</v>
      </c>
      <c r="C10" s="1062"/>
      <c r="D10" s="2">
        <v>300</v>
      </c>
      <c r="E10" s="2">
        <v>0</v>
      </c>
      <c r="F10" s="2">
        <v>36</v>
      </c>
      <c r="G10" s="2">
        <v>5</v>
      </c>
      <c r="H10" s="2"/>
      <c r="I10" s="2"/>
      <c r="J10" s="2"/>
      <c r="K10" s="2"/>
      <c r="L10" s="55" t="s">
        <v>927</v>
      </c>
      <c r="M10" s="55"/>
      <c r="N10" s="145">
        <v>306</v>
      </c>
      <c r="O10" s="149">
        <v>18.36</v>
      </c>
      <c r="P10" s="145"/>
      <c r="Q10" s="145"/>
      <c r="R10" s="145"/>
      <c r="S10" s="145"/>
      <c r="T10" s="145">
        <v>8</v>
      </c>
      <c r="U10" s="145">
        <v>0</v>
      </c>
      <c r="V10" s="145"/>
      <c r="W10" s="145"/>
      <c r="X10" s="2"/>
      <c r="Y10" s="2"/>
      <c r="Z10" s="2"/>
      <c r="AA10" s="2"/>
      <c r="AB10" s="203">
        <v>51</v>
      </c>
      <c r="AC10" s="203">
        <v>34</v>
      </c>
      <c r="AD10" s="55">
        <v>210</v>
      </c>
      <c r="AE10" s="55">
        <v>14</v>
      </c>
      <c r="AF10" s="55">
        <v>4</v>
      </c>
      <c r="AG10" s="55">
        <v>1</v>
      </c>
      <c r="AH10" s="55">
        <v>96</v>
      </c>
      <c r="AI10" s="55">
        <v>4.56</v>
      </c>
      <c r="AJ10" s="55">
        <v>72</v>
      </c>
      <c r="AK10" s="55">
        <v>0</v>
      </c>
      <c r="AL10" s="55">
        <v>40</v>
      </c>
      <c r="AM10" s="55">
        <v>2.06</v>
      </c>
      <c r="AN10" s="55"/>
      <c r="AO10" s="55"/>
      <c r="AP10" s="55"/>
      <c r="AQ10" s="55"/>
      <c r="AR10" s="55"/>
      <c r="AS10" s="55"/>
      <c r="AT10" s="55"/>
      <c r="AU10" s="55"/>
      <c r="AV10" s="145" t="s">
        <v>12</v>
      </c>
      <c r="AW10" s="145">
        <v>24</v>
      </c>
      <c r="AX10" s="145" t="s">
        <v>284</v>
      </c>
      <c r="AY10" s="145" t="s">
        <v>306</v>
      </c>
      <c r="AZ10" s="117" t="s">
        <v>285</v>
      </c>
    </row>
    <row r="11" spans="1:52" ht="45">
      <c r="A11" s="177" t="s">
        <v>787</v>
      </c>
      <c r="B11" s="152" t="s">
        <v>788</v>
      </c>
      <c r="C11" s="1031" t="s">
        <v>675</v>
      </c>
      <c r="D11" s="91">
        <v>0</v>
      </c>
      <c r="E11" s="2">
        <v>0</v>
      </c>
      <c r="F11" s="91">
        <v>16</v>
      </c>
      <c r="G11" s="2">
        <v>2.7</v>
      </c>
      <c r="H11" s="2"/>
      <c r="I11" s="2"/>
      <c r="J11" s="2"/>
      <c r="K11" s="2"/>
      <c r="L11" s="145">
        <v>24</v>
      </c>
      <c r="M11" s="145">
        <v>0</v>
      </c>
      <c r="N11" s="145">
        <v>24</v>
      </c>
      <c r="O11" s="145">
        <v>3.76</v>
      </c>
      <c r="P11" s="145"/>
      <c r="Q11" s="145"/>
      <c r="R11" s="145"/>
      <c r="S11" s="145"/>
      <c r="T11" s="145"/>
      <c r="U11" s="145"/>
      <c r="V11" s="145"/>
      <c r="W11" s="145"/>
      <c r="X11" s="2"/>
      <c r="Y11" s="2"/>
      <c r="Z11" s="2"/>
      <c r="AA11" s="2"/>
      <c r="AB11" s="203"/>
      <c r="AC11" s="203"/>
      <c r="AD11" s="55"/>
      <c r="AE11" s="55"/>
      <c r="AF11" s="55"/>
      <c r="AG11" s="55"/>
      <c r="AH11" s="55"/>
      <c r="AI11" s="55"/>
      <c r="AJ11" s="55">
        <v>48</v>
      </c>
      <c r="AK11" s="55">
        <v>0</v>
      </c>
      <c r="AL11" s="55">
        <v>36</v>
      </c>
      <c r="AM11" s="55">
        <v>3</v>
      </c>
      <c r="AN11" s="55"/>
      <c r="AO11" s="55"/>
      <c r="AP11" s="55"/>
      <c r="AQ11" s="55"/>
      <c r="AR11" s="55"/>
      <c r="AS11" s="55"/>
      <c r="AT11" s="55"/>
      <c r="AU11" s="55"/>
      <c r="AV11" s="91" t="s">
        <v>9</v>
      </c>
      <c r="AW11" s="145">
        <v>30</v>
      </c>
      <c r="AX11" s="145" t="s">
        <v>791</v>
      </c>
      <c r="AY11" s="145" t="s">
        <v>306</v>
      </c>
      <c r="AZ11" s="116" t="s">
        <v>610</v>
      </c>
    </row>
    <row r="12" spans="1:52" ht="15.75">
      <c r="A12" s="177" t="s">
        <v>789</v>
      </c>
      <c r="B12" s="152" t="s">
        <v>790</v>
      </c>
      <c r="C12" s="1032"/>
      <c r="D12" s="149"/>
      <c r="E12" s="149"/>
      <c r="F12" s="149"/>
      <c r="G12" s="149"/>
      <c r="H12" s="149"/>
      <c r="I12" s="149"/>
      <c r="J12" s="149"/>
      <c r="K12" s="149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2"/>
      <c r="Y12" s="2"/>
      <c r="Z12" s="2"/>
      <c r="AA12" s="2"/>
      <c r="AB12" s="203"/>
      <c r="AC12" s="203"/>
      <c r="AD12" s="55"/>
      <c r="AE12" s="55"/>
      <c r="AF12" s="55"/>
      <c r="AG12" s="55"/>
      <c r="AH12" s="55"/>
      <c r="AI12" s="55"/>
      <c r="AJ12" s="55" t="s">
        <v>610</v>
      </c>
      <c r="AK12" s="55" t="s">
        <v>610</v>
      </c>
      <c r="AL12" s="55">
        <v>30</v>
      </c>
      <c r="AM12" s="55">
        <v>1.25</v>
      </c>
      <c r="AN12" s="55"/>
      <c r="AO12" s="55"/>
      <c r="AP12" s="55"/>
      <c r="AQ12" s="55"/>
      <c r="AR12" s="55"/>
      <c r="AS12" s="55"/>
      <c r="AT12" s="55"/>
      <c r="AU12" s="55"/>
      <c r="AV12" s="91" t="s">
        <v>23</v>
      </c>
      <c r="AW12" s="145">
        <v>35</v>
      </c>
      <c r="AX12" s="145" t="s">
        <v>792</v>
      </c>
      <c r="AY12" s="145" t="s">
        <v>306</v>
      </c>
      <c r="AZ12" s="116" t="s">
        <v>610</v>
      </c>
    </row>
    <row r="13" spans="1:52" ht="15.75">
      <c r="A13" s="177" t="s">
        <v>703</v>
      </c>
      <c r="B13" s="152" t="s">
        <v>51</v>
      </c>
      <c r="C13" s="1033"/>
      <c r="D13" s="91">
        <v>2</v>
      </c>
      <c r="E13" s="2">
        <v>28</v>
      </c>
      <c r="F13" s="91">
        <v>64</v>
      </c>
      <c r="G13" s="2">
        <v>2.33</v>
      </c>
      <c r="H13" s="138">
        <v>288</v>
      </c>
      <c r="I13" s="2">
        <v>24</v>
      </c>
      <c r="J13" s="138">
        <v>192</v>
      </c>
      <c r="K13" s="138">
        <v>4.69</v>
      </c>
      <c r="L13" s="145">
        <v>30</v>
      </c>
      <c r="M13" s="145">
        <v>0</v>
      </c>
      <c r="N13" s="145">
        <v>5</v>
      </c>
      <c r="O13" s="145">
        <v>0.97</v>
      </c>
      <c r="P13" s="145"/>
      <c r="Q13" s="145"/>
      <c r="R13" s="145"/>
      <c r="S13" s="145"/>
      <c r="T13" s="145"/>
      <c r="U13" s="145"/>
      <c r="V13" s="145"/>
      <c r="W13" s="145"/>
      <c r="X13" s="2"/>
      <c r="Y13" s="2"/>
      <c r="Z13" s="2"/>
      <c r="AA13" s="2"/>
      <c r="AB13" s="203">
        <v>30</v>
      </c>
      <c r="AC13" s="203">
        <v>22</v>
      </c>
      <c r="AD13" s="55">
        <v>30</v>
      </c>
      <c r="AE13" s="55">
        <v>1.85</v>
      </c>
      <c r="AF13" s="55"/>
      <c r="AG13" s="55"/>
      <c r="AH13" s="55"/>
      <c r="AI13" s="55"/>
      <c r="AJ13" s="55" t="s">
        <v>610</v>
      </c>
      <c r="AK13" s="55" t="s">
        <v>610</v>
      </c>
      <c r="AL13" s="55">
        <v>140</v>
      </c>
      <c r="AM13" s="55">
        <v>0.96</v>
      </c>
      <c r="AN13" s="33" t="s">
        <v>610</v>
      </c>
      <c r="AO13" s="33" t="s">
        <v>610</v>
      </c>
      <c r="AP13" s="33">
        <v>120</v>
      </c>
      <c r="AQ13" s="33">
        <v>8.1</v>
      </c>
      <c r="AR13" s="33"/>
      <c r="AS13" s="33"/>
      <c r="AT13" s="33"/>
      <c r="AU13" s="33"/>
      <c r="AV13" s="145" t="s">
        <v>168</v>
      </c>
      <c r="AW13" s="145">
        <v>30</v>
      </c>
      <c r="AX13" s="2" t="s">
        <v>64</v>
      </c>
      <c r="AY13" s="145" t="s">
        <v>306</v>
      </c>
      <c r="AZ13" s="117" t="s">
        <v>555</v>
      </c>
    </row>
    <row r="14" spans="1:52" s="4" customFormat="1" ht="30">
      <c r="A14" s="177" t="s">
        <v>165</v>
      </c>
      <c r="B14" s="152" t="s">
        <v>152</v>
      </c>
      <c r="C14" s="1062" t="s">
        <v>33</v>
      </c>
      <c r="D14" s="145"/>
      <c r="E14" s="145"/>
      <c r="F14" s="145"/>
      <c r="G14" s="145"/>
      <c r="H14" s="91">
        <v>112</v>
      </c>
      <c r="I14" s="2" t="s">
        <v>610</v>
      </c>
      <c r="J14" s="91">
        <v>96</v>
      </c>
      <c r="K14" s="2">
        <v>11</v>
      </c>
      <c r="L14" s="145">
        <v>80</v>
      </c>
      <c r="M14" s="145">
        <v>5</v>
      </c>
      <c r="N14" s="145">
        <v>64</v>
      </c>
      <c r="O14" s="145">
        <v>11.69</v>
      </c>
      <c r="P14" s="145"/>
      <c r="Q14" s="145"/>
      <c r="R14" s="145"/>
      <c r="S14" s="145"/>
      <c r="T14" s="145"/>
      <c r="U14" s="145"/>
      <c r="V14" s="145"/>
      <c r="W14" s="145"/>
      <c r="X14" s="2"/>
      <c r="Y14" s="2"/>
      <c r="Z14" s="2"/>
      <c r="AA14" s="2"/>
      <c r="AB14" s="203">
        <v>112</v>
      </c>
      <c r="AC14" s="203">
        <v>102</v>
      </c>
      <c r="AD14" s="55">
        <v>96</v>
      </c>
      <c r="AE14" s="55">
        <v>10.52</v>
      </c>
      <c r="AF14" s="55">
        <v>650</v>
      </c>
      <c r="AG14" s="55">
        <v>143</v>
      </c>
      <c r="AH14" s="55">
        <v>350</v>
      </c>
      <c r="AI14" s="55">
        <v>72.1</v>
      </c>
      <c r="AJ14" s="55">
        <v>320</v>
      </c>
      <c r="AK14" s="55">
        <v>138</v>
      </c>
      <c r="AL14" s="55">
        <v>400</v>
      </c>
      <c r="AM14" s="55">
        <v>30</v>
      </c>
      <c r="AN14" s="33">
        <v>24</v>
      </c>
      <c r="AO14" s="33">
        <v>9</v>
      </c>
      <c r="AP14" s="33">
        <f>23*16</f>
        <v>368</v>
      </c>
      <c r="AQ14" s="33">
        <v>51.18</v>
      </c>
      <c r="AR14" s="33"/>
      <c r="AS14" s="33"/>
      <c r="AT14" s="33"/>
      <c r="AU14" s="33"/>
      <c r="AV14" s="145" t="s">
        <v>45</v>
      </c>
      <c r="AW14" s="145">
        <v>16</v>
      </c>
      <c r="AX14" s="145" t="s">
        <v>163</v>
      </c>
      <c r="AY14" s="145" t="s">
        <v>306</v>
      </c>
      <c r="AZ14" s="116" t="s">
        <v>282</v>
      </c>
    </row>
    <row r="15" spans="1:52" s="4" customFormat="1" ht="15.75">
      <c r="A15" s="177" t="s">
        <v>567</v>
      </c>
      <c r="B15" s="151" t="s">
        <v>568</v>
      </c>
      <c r="C15" s="1062"/>
      <c r="D15" s="145"/>
      <c r="E15" s="145"/>
      <c r="F15" s="145"/>
      <c r="G15" s="145"/>
      <c r="H15" s="2" t="s">
        <v>610</v>
      </c>
      <c r="I15" s="2" t="s">
        <v>610</v>
      </c>
      <c r="J15" s="91">
        <v>192</v>
      </c>
      <c r="K15" s="91">
        <v>25.87</v>
      </c>
      <c r="L15" s="145">
        <v>576</v>
      </c>
      <c r="M15" s="145">
        <v>208</v>
      </c>
      <c r="N15" s="55">
        <v>576</v>
      </c>
      <c r="O15" s="145">
        <v>13.35</v>
      </c>
      <c r="P15" s="145">
        <v>180</v>
      </c>
      <c r="Q15" s="145">
        <v>33</v>
      </c>
      <c r="R15" s="145">
        <v>384</v>
      </c>
      <c r="S15" s="145">
        <v>8.96</v>
      </c>
      <c r="T15" s="145"/>
      <c r="U15" s="145"/>
      <c r="V15" s="145"/>
      <c r="W15" s="145"/>
      <c r="X15" s="195">
        <v>1200</v>
      </c>
      <c r="Y15" s="195">
        <v>764</v>
      </c>
      <c r="Z15" s="145"/>
      <c r="AA15" s="145"/>
      <c r="AB15" s="145"/>
      <c r="AC15" s="145"/>
      <c r="AD15" s="55"/>
      <c r="AE15" s="55"/>
      <c r="AF15" s="55"/>
      <c r="AG15" s="55"/>
      <c r="AH15" s="55"/>
      <c r="AI15" s="55"/>
      <c r="AJ15" s="55" t="s">
        <v>610</v>
      </c>
      <c r="AK15" s="55" t="s">
        <v>610</v>
      </c>
      <c r="AL15" s="55">
        <v>1088</v>
      </c>
      <c r="AM15" s="55">
        <v>13.26</v>
      </c>
      <c r="AN15" s="33" t="s">
        <v>610</v>
      </c>
      <c r="AO15" s="33" t="s">
        <v>610</v>
      </c>
      <c r="AP15" s="33">
        <f>59*24</f>
        <v>1416</v>
      </c>
      <c r="AQ15" s="33">
        <v>49.67</v>
      </c>
      <c r="AR15" s="33"/>
      <c r="AS15" s="33"/>
      <c r="AT15" s="33"/>
      <c r="AU15" s="33"/>
      <c r="AV15" s="145" t="s">
        <v>37</v>
      </c>
      <c r="AW15" s="145">
        <v>15</v>
      </c>
      <c r="AX15" s="55" t="s">
        <v>569</v>
      </c>
      <c r="AY15" s="55" t="s">
        <v>306</v>
      </c>
      <c r="AZ15" s="116" t="s">
        <v>555</v>
      </c>
    </row>
    <row r="16" spans="1:52" s="3" customFormat="1" ht="15.75">
      <c r="A16" s="241" t="s">
        <v>314</v>
      </c>
      <c r="B16" s="152" t="s">
        <v>51</v>
      </c>
      <c r="C16" s="1062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55"/>
      <c r="AE16" s="55"/>
      <c r="AF16" s="55">
        <v>1328</v>
      </c>
      <c r="AG16" s="55">
        <v>691</v>
      </c>
      <c r="AH16" s="55">
        <v>1104</v>
      </c>
      <c r="AI16" s="55">
        <v>36.42</v>
      </c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87" t="s">
        <v>23</v>
      </c>
      <c r="AW16" s="145">
        <v>16</v>
      </c>
      <c r="AX16" s="145" t="s">
        <v>167</v>
      </c>
      <c r="AY16" s="145" t="s">
        <v>306</v>
      </c>
      <c r="AZ16" s="116" t="s">
        <v>316</v>
      </c>
    </row>
    <row r="17" spans="1:52" s="3" customFormat="1" ht="15.75">
      <c r="A17" s="241" t="s">
        <v>315</v>
      </c>
      <c r="B17" s="152" t="s">
        <v>170</v>
      </c>
      <c r="C17" s="1062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55"/>
      <c r="AE17" s="55"/>
      <c r="AF17" s="55"/>
      <c r="AG17" s="55"/>
      <c r="AH17" s="55">
        <v>554</v>
      </c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87" t="s">
        <v>15</v>
      </c>
      <c r="AW17" s="145" t="s">
        <v>862</v>
      </c>
      <c r="AX17" s="145" t="s">
        <v>167</v>
      </c>
      <c r="AY17" s="145" t="s">
        <v>306</v>
      </c>
      <c r="AZ17" s="116" t="s">
        <v>316</v>
      </c>
    </row>
    <row r="18" spans="1:52" s="3" customFormat="1" ht="15.75">
      <c r="A18" s="177" t="s">
        <v>171</v>
      </c>
      <c r="B18" s="152" t="s">
        <v>51</v>
      </c>
      <c r="C18" s="145" t="s">
        <v>34</v>
      </c>
      <c r="D18" s="145">
        <v>0</v>
      </c>
      <c r="E18" s="145">
        <v>509</v>
      </c>
      <c r="F18" s="145">
        <v>2240</v>
      </c>
      <c r="G18" s="145">
        <v>46.47</v>
      </c>
      <c r="H18" s="145"/>
      <c r="I18" s="145"/>
      <c r="J18" s="145"/>
      <c r="K18" s="145"/>
      <c r="L18" s="145">
        <v>480</v>
      </c>
      <c r="M18" s="145">
        <v>542</v>
      </c>
      <c r="N18" s="145">
        <v>864</v>
      </c>
      <c r="O18" s="145">
        <v>20.03</v>
      </c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55"/>
      <c r="AE18" s="55"/>
      <c r="AF18" s="55"/>
      <c r="AG18" s="55"/>
      <c r="AH18" s="55">
        <v>238</v>
      </c>
      <c r="AI18" s="55">
        <v>3.09</v>
      </c>
      <c r="AJ18" s="55" t="s">
        <v>610</v>
      </c>
      <c r="AK18" s="55" t="s">
        <v>610</v>
      </c>
      <c r="AL18" s="55">
        <v>1088</v>
      </c>
      <c r="AM18" s="55">
        <v>13.26</v>
      </c>
      <c r="AN18" s="55"/>
      <c r="AO18" s="55"/>
      <c r="AP18" s="55"/>
      <c r="AQ18" s="55"/>
      <c r="AR18" s="55"/>
      <c r="AS18" s="55"/>
      <c r="AT18" s="55"/>
      <c r="AU18" s="55"/>
      <c r="AV18" s="145" t="s">
        <v>15</v>
      </c>
      <c r="AW18" s="145">
        <v>30</v>
      </c>
      <c r="AX18" s="145" t="s">
        <v>311</v>
      </c>
      <c r="AY18" s="145" t="s">
        <v>306</v>
      </c>
      <c r="AZ18" s="116" t="s">
        <v>316</v>
      </c>
    </row>
    <row r="19" spans="1:52" s="3" customFormat="1" ht="30">
      <c r="A19" s="177" t="s">
        <v>162</v>
      </c>
      <c r="B19" s="152" t="s">
        <v>60</v>
      </c>
      <c r="C19" s="145" t="s">
        <v>39</v>
      </c>
      <c r="D19" s="91">
        <v>7200</v>
      </c>
      <c r="E19" s="2">
        <v>306</v>
      </c>
      <c r="F19" s="91">
        <v>480</v>
      </c>
      <c r="G19" s="2">
        <v>56.23</v>
      </c>
      <c r="H19" s="91">
        <v>336</v>
      </c>
      <c r="I19" s="91">
        <v>168</v>
      </c>
      <c r="J19" s="91">
        <v>168</v>
      </c>
      <c r="K19" s="129">
        <v>14</v>
      </c>
      <c r="L19" s="145">
        <v>984</v>
      </c>
      <c r="M19" s="145">
        <v>668</v>
      </c>
      <c r="N19" s="68">
        <v>1104</v>
      </c>
      <c r="O19" s="145">
        <v>159.63</v>
      </c>
      <c r="P19" s="145">
        <v>0</v>
      </c>
      <c r="Q19" s="145">
        <v>709</v>
      </c>
      <c r="R19" s="2">
        <v>912</v>
      </c>
      <c r="S19" s="2">
        <v>64.36</v>
      </c>
      <c r="T19" s="2">
        <v>528</v>
      </c>
      <c r="U19" s="2">
        <v>502</v>
      </c>
      <c r="V19" s="145">
        <v>528</v>
      </c>
      <c r="W19" s="145">
        <v>30.89</v>
      </c>
      <c r="X19" s="195">
        <v>504</v>
      </c>
      <c r="Y19" s="195">
        <v>544</v>
      </c>
      <c r="Z19" s="195">
        <v>432</v>
      </c>
      <c r="AA19" s="195">
        <v>23.32</v>
      </c>
      <c r="AB19" s="145"/>
      <c r="AC19" s="145"/>
      <c r="AD19" s="55"/>
      <c r="AE19" s="55"/>
      <c r="AF19" s="55">
        <v>1171</v>
      </c>
      <c r="AG19" s="55">
        <v>617</v>
      </c>
      <c r="AH19" s="55">
        <v>660</v>
      </c>
      <c r="AI19" s="55">
        <v>46.2</v>
      </c>
      <c r="AJ19" s="55"/>
      <c r="AK19" s="55"/>
      <c r="AL19" s="55"/>
      <c r="AM19" s="55"/>
      <c r="AN19" s="33">
        <v>290</v>
      </c>
      <c r="AO19" s="222" t="s">
        <v>610</v>
      </c>
      <c r="AP19" s="33">
        <f>105*54</f>
        <v>5670</v>
      </c>
      <c r="AQ19" s="222">
        <v>365.22</v>
      </c>
      <c r="AR19" s="222"/>
      <c r="AS19" s="222"/>
      <c r="AT19" s="222"/>
      <c r="AU19" s="222"/>
      <c r="AV19" s="145" t="s">
        <v>61</v>
      </c>
      <c r="AW19" s="145">
        <v>30</v>
      </c>
      <c r="AX19" s="145" t="s">
        <v>286</v>
      </c>
      <c r="AY19" s="145" t="s">
        <v>306</v>
      </c>
      <c r="AZ19" s="116" t="s">
        <v>287</v>
      </c>
    </row>
    <row r="20" spans="1:52" s="3" customFormat="1" ht="15.75">
      <c r="A20" s="177"/>
      <c r="B20" s="152" t="s">
        <v>51</v>
      </c>
      <c r="C20" s="145" t="s">
        <v>39</v>
      </c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55"/>
      <c r="AE20" s="55"/>
      <c r="AF20" s="55">
        <v>448</v>
      </c>
      <c r="AG20" s="55">
        <v>356</v>
      </c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145"/>
      <c r="AW20" s="145"/>
      <c r="AX20" s="145"/>
      <c r="AY20" s="145"/>
      <c r="AZ20" s="116"/>
    </row>
    <row r="21" spans="1:52" s="3" customFormat="1" ht="45">
      <c r="A21" s="177" t="s">
        <v>161</v>
      </c>
      <c r="B21" s="152" t="s">
        <v>288</v>
      </c>
      <c r="C21" s="145" t="s">
        <v>289</v>
      </c>
      <c r="D21" s="145"/>
      <c r="E21" s="145"/>
      <c r="F21" s="145"/>
      <c r="G21" s="145"/>
      <c r="H21" s="145"/>
      <c r="I21" s="145"/>
      <c r="J21" s="145"/>
      <c r="K21" s="145"/>
      <c r="L21" s="145">
        <v>24</v>
      </c>
      <c r="M21" s="145">
        <v>0</v>
      </c>
      <c r="N21" s="145">
        <v>72</v>
      </c>
      <c r="O21" s="145">
        <v>11.22</v>
      </c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55"/>
      <c r="AE21" s="55"/>
      <c r="AF21" s="55">
        <v>33</v>
      </c>
      <c r="AG21" s="55">
        <v>0</v>
      </c>
      <c r="AH21" s="55">
        <v>33</v>
      </c>
      <c r="AI21" s="55">
        <v>4.69</v>
      </c>
      <c r="AJ21" s="55"/>
      <c r="AK21" s="55"/>
      <c r="AL21" s="55"/>
      <c r="AM21" s="55"/>
      <c r="AN21" s="145">
        <v>46</v>
      </c>
      <c r="AO21" s="55" t="s">
        <v>610</v>
      </c>
      <c r="AP21" s="145">
        <f>18*24</f>
        <v>432</v>
      </c>
      <c r="AQ21" s="55">
        <v>123.04</v>
      </c>
      <c r="AR21" s="55"/>
      <c r="AS21" s="55"/>
      <c r="AT21" s="55"/>
      <c r="AU21" s="55"/>
      <c r="AV21" s="145" t="s">
        <v>864</v>
      </c>
      <c r="AW21" s="145" t="s">
        <v>865</v>
      </c>
      <c r="AX21" s="145" t="s">
        <v>290</v>
      </c>
      <c r="AY21" s="145" t="s">
        <v>306</v>
      </c>
      <c r="AZ21" s="116" t="s">
        <v>291</v>
      </c>
    </row>
    <row r="22" spans="1:52" s="3" customFormat="1" ht="15.75">
      <c r="A22" s="177"/>
      <c r="B22" s="152" t="s">
        <v>154</v>
      </c>
      <c r="C22" s="145" t="s">
        <v>153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55"/>
      <c r="AE22" s="55"/>
      <c r="AF22" s="55">
        <v>1068</v>
      </c>
      <c r="AG22" s="55">
        <v>120</v>
      </c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145" t="s">
        <v>45</v>
      </c>
      <c r="AW22" s="145">
        <v>16</v>
      </c>
      <c r="AX22" s="145" t="s">
        <v>46</v>
      </c>
      <c r="AY22" s="145"/>
      <c r="AZ22" s="116"/>
    </row>
    <row r="23" spans="1:52" s="3" customFormat="1" ht="60">
      <c r="A23" s="177"/>
      <c r="B23" s="152" t="s">
        <v>47</v>
      </c>
      <c r="C23" s="145" t="s">
        <v>153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>
        <v>230</v>
      </c>
      <c r="AG23" s="145">
        <v>98</v>
      </c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 t="s">
        <v>63</v>
      </c>
      <c r="AW23" s="145" t="s">
        <v>49</v>
      </c>
      <c r="AX23" s="145" t="s">
        <v>46</v>
      </c>
      <c r="AY23" s="145"/>
      <c r="AZ23" s="116" t="s">
        <v>105</v>
      </c>
    </row>
    <row r="24" spans="1:52" s="3" customFormat="1" ht="15.75">
      <c r="A24" s="178"/>
      <c r="B24" s="151" t="s">
        <v>62</v>
      </c>
      <c r="C24" s="145" t="s">
        <v>153</v>
      </c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>
        <v>1202</v>
      </c>
      <c r="AG24" s="145">
        <v>780</v>
      </c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 t="s">
        <v>71</v>
      </c>
      <c r="AW24" s="145">
        <v>16</v>
      </c>
      <c r="AX24" s="145" t="s">
        <v>575</v>
      </c>
      <c r="AY24" s="145"/>
      <c r="AZ24" s="116"/>
    </row>
    <row r="25" spans="1:52" s="3" customFormat="1" ht="31.5">
      <c r="A25" s="178"/>
      <c r="B25" s="35" t="s">
        <v>155</v>
      </c>
      <c r="C25" s="145" t="s">
        <v>156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>
        <v>230</v>
      </c>
      <c r="AG25" s="145">
        <v>19</v>
      </c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 t="s">
        <v>12</v>
      </c>
      <c r="AW25" s="145" t="s">
        <v>49</v>
      </c>
      <c r="AX25" s="145" t="s">
        <v>981</v>
      </c>
      <c r="AY25" s="145"/>
      <c r="AZ25" s="116"/>
    </row>
    <row r="26" spans="1:52" s="3" customFormat="1" ht="15.75">
      <c r="A26" s="178"/>
      <c r="B26" s="1161" t="s">
        <v>157</v>
      </c>
      <c r="C26" s="145" t="s">
        <v>158</v>
      </c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>
        <v>100</v>
      </c>
      <c r="AG26" s="1062">
        <v>72</v>
      </c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16"/>
    </row>
    <row r="27" spans="1:52" s="3" customFormat="1" ht="15.75">
      <c r="A27" s="178"/>
      <c r="B27" s="1161"/>
      <c r="C27" s="145" t="s">
        <v>159</v>
      </c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>
        <v>3</v>
      </c>
      <c r="AG27" s="1062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16"/>
    </row>
    <row r="28" spans="1:52" s="3" customFormat="1" ht="31.5">
      <c r="A28" s="178"/>
      <c r="B28" s="35" t="s">
        <v>160</v>
      </c>
      <c r="C28" s="145" t="s">
        <v>153</v>
      </c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>
        <v>1061</v>
      </c>
      <c r="AG28" s="145">
        <v>117</v>
      </c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 t="s">
        <v>12</v>
      </c>
      <c r="AW28" s="145" t="s">
        <v>49</v>
      </c>
      <c r="AX28" s="145" t="s">
        <v>981</v>
      </c>
      <c r="AY28" s="145"/>
      <c r="AZ28" s="116"/>
    </row>
    <row r="29" spans="1:52" s="1" customFormat="1" ht="15.75">
      <c r="A29" s="26"/>
      <c r="B29" s="1027" t="s">
        <v>30</v>
      </c>
      <c r="C29" s="1027"/>
      <c r="D29" s="153">
        <f>SUM(D6:D28)</f>
        <v>8846</v>
      </c>
      <c r="E29" s="153">
        <f aca="true" t="shared" si="0" ref="E29:AU29">SUM(E6:E28)</f>
        <v>932</v>
      </c>
      <c r="F29" s="153">
        <f t="shared" si="0"/>
        <v>4148</v>
      </c>
      <c r="G29" s="153">
        <f t="shared" si="0"/>
        <v>142.96</v>
      </c>
      <c r="H29" s="153">
        <f t="shared" si="0"/>
        <v>1104</v>
      </c>
      <c r="I29" s="153">
        <f t="shared" si="0"/>
        <v>338</v>
      </c>
      <c r="J29" s="153">
        <f t="shared" si="0"/>
        <v>936</v>
      </c>
      <c r="K29" s="153">
        <f t="shared" si="0"/>
        <v>101.76</v>
      </c>
      <c r="L29" s="153">
        <f t="shared" si="0"/>
        <v>2566</v>
      </c>
      <c r="M29" s="153">
        <f t="shared" si="0"/>
        <v>1622</v>
      </c>
      <c r="N29" s="153">
        <f t="shared" si="0"/>
        <v>3585</v>
      </c>
      <c r="O29" s="153">
        <f t="shared" si="0"/>
        <v>270.83000000000004</v>
      </c>
      <c r="P29" s="153">
        <f t="shared" si="0"/>
        <v>360</v>
      </c>
      <c r="Q29" s="153">
        <f t="shared" si="0"/>
        <v>788</v>
      </c>
      <c r="R29" s="153">
        <f t="shared" si="0"/>
        <v>1872</v>
      </c>
      <c r="S29" s="153">
        <f t="shared" si="0"/>
        <v>102.33</v>
      </c>
      <c r="T29" s="153">
        <f t="shared" si="0"/>
        <v>1304</v>
      </c>
      <c r="U29" s="153">
        <f t="shared" si="0"/>
        <v>1194</v>
      </c>
      <c r="V29" s="153">
        <f t="shared" si="0"/>
        <v>1296</v>
      </c>
      <c r="W29" s="153">
        <f t="shared" si="0"/>
        <v>51.15</v>
      </c>
      <c r="X29" s="153">
        <f t="shared" si="0"/>
        <v>1704</v>
      </c>
      <c r="Y29" s="153">
        <f t="shared" si="0"/>
        <v>1308</v>
      </c>
      <c r="Z29" s="153">
        <f t="shared" si="0"/>
        <v>432</v>
      </c>
      <c r="AA29" s="153">
        <f t="shared" si="0"/>
        <v>23.32</v>
      </c>
      <c r="AB29" s="153">
        <f t="shared" si="0"/>
        <v>1821</v>
      </c>
      <c r="AC29" s="153">
        <f t="shared" si="0"/>
        <v>743</v>
      </c>
      <c r="AD29" s="153">
        <f t="shared" si="0"/>
        <v>2064</v>
      </c>
      <c r="AE29" s="153">
        <f t="shared" si="0"/>
        <v>86.42999999999999</v>
      </c>
      <c r="AF29" s="153">
        <f t="shared" si="0"/>
        <v>8146</v>
      </c>
      <c r="AG29" s="153">
        <f t="shared" si="0"/>
        <v>4518</v>
      </c>
      <c r="AH29" s="153">
        <f t="shared" si="0"/>
        <v>3285</v>
      </c>
      <c r="AI29" s="153">
        <f t="shared" si="0"/>
        <v>205.96000000000004</v>
      </c>
      <c r="AJ29" s="153">
        <f t="shared" si="0"/>
        <v>600</v>
      </c>
      <c r="AK29" s="153">
        <f t="shared" si="0"/>
        <v>208</v>
      </c>
      <c r="AL29" s="153">
        <f t="shared" si="0"/>
        <v>4110</v>
      </c>
      <c r="AM29" s="153">
        <f t="shared" si="0"/>
        <v>94.34</v>
      </c>
      <c r="AN29" s="153">
        <f t="shared" si="0"/>
        <v>370</v>
      </c>
      <c r="AO29" s="153">
        <f t="shared" si="0"/>
        <v>16</v>
      </c>
      <c r="AP29" s="153">
        <f t="shared" si="0"/>
        <v>8150</v>
      </c>
      <c r="AQ29" s="153">
        <f t="shared" si="0"/>
        <v>619.4300000000001</v>
      </c>
      <c r="AR29" s="153">
        <f t="shared" si="0"/>
        <v>0</v>
      </c>
      <c r="AS29" s="153">
        <f t="shared" si="0"/>
        <v>0</v>
      </c>
      <c r="AT29" s="153">
        <f t="shared" si="0"/>
        <v>0</v>
      </c>
      <c r="AU29" s="153">
        <f t="shared" si="0"/>
        <v>0</v>
      </c>
      <c r="AV29" s="163"/>
      <c r="AW29" s="163"/>
      <c r="AX29" s="163"/>
      <c r="AY29" s="163"/>
      <c r="AZ29" s="243"/>
    </row>
    <row r="30" spans="1:52" s="3" customFormat="1" ht="45">
      <c r="A30" s="177" t="s">
        <v>172</v>
      </c>
      <c r="B30" s="151" t="s">
        <v>47</v>
      </c>
      <c r="C30" s="5" t="s">
        <v>50</v>
      </c>
      <c r="D30" s="91">
        <v>270</v>
      </c>
      <c r="E30" s="2">
        <v>0</v>
      </c>
      <c r="F30" s="91">
        <v>192</v>
      </c>
      <c r="G30" s="91">
        <v>37.96</v>
      </c>
      <c r="H30" s="2" t="s">
        <v>610</v>
      </c>
      <c r="I30" s="2" t="s">
        <v>610</v>
      </c>
      <c r="J30" s="91">
        <v>48</v>
      </c>
      <c r="K30" s="91">
        <v>10</v>
      </c>
      <c r="L30" s="55" t="s">
        <v>927</v>
      </c>
      <c r="M30" s="55"/>
      <c r="N30" s="145">
        <v>96</v>
      </c>
      <c r="O30" s="145">
        <v>8.32</v>
      </c>
      <c r="P30" s="5"/>
      <c r="Q30" s="5"/>
      <c r="R30" s="145">
        <v>144</v>
      </c>
      <c r="S30" s="145">
        <v>28.47</v>
      </c>
      <c r="T30" s="5">
        <v>96</v>
      </c>
      <c r="U30" s="5">
        <v>50</v>
      </c>
      <c r="V30" s="5"/>
      <c r="W30" s="5"/>
      <c r="X30" s="195">
        <v>6</v>
      </c>
      <c r="Y30" s="195">
        <v>6</v>
      </c>
      <c r="Z30" s="5"/>
      <c r="AA30" s="5"/>
      <c r="AB30" s="5">
        <v>1032</v>
      </c>
      <c r="AC30" s="5">
        <v>749</v>
      </c>
      <c r="AD30" s="5">
        <v>144</v>
      </c>
      <c r="AE30" s="5">
        <v>30</v>
      </c>
      <c r="AF30" s="5"/>
      <c r="AG30" s="5"/>
      <c r="AH30" s="5">
        <v>60</v>
      </c>
      <c r="AI30" s="5">
        <v>4.2</v>
      </c>
      <c r="AJ30" s="5">
        <v>96</v>
      </c>
      <c r="AK30" s="5">
        <v>80</v>
      </c>
      <c r="AL30" s="5">
        <v>120</v>
      </c>
      <c r="AM30" s="91">
        <v>7.32</v>
      </c>
      <c r="AN30" s="91"/>
      <c r="AO30" s="91"/>
      <c r="AP30" s="91"/>
      <c r="AQ30" s="91"/>
      <c r="AR30" s="91"/>
      <c r="AS30" s="91"/>
      <c r="AT30" s="91"/>
      <c r="AU30" s="91"/>
      <c r="AV30" s="33" t="s">
        <v>87</v>
      </c>
      <c r="AW30" s="145">
        <v>20</v>
      </c>
      <c r="AX30" s="33" t="s">
        <v>292</v>
      </c>
      <c r="AY30" s="145" t="s">
        <v>306</v>
      </c>
      <c r="AZ30" s="116" t="s">
        <v>293</v>
      </c>
    </row>
    <row r="31" spans="1:52" s="3" customFormat="1" ht="15.75">
      <c r="A31" s="177" t="s">
        <v>175</v>
      </c>
      <c r="B31" s="152" t="s">
        <v>173</v>
      </c>
      <c r="C31" s="145" t="s">
        <v>317</v>
      </c>
      <c r="D31" s="2">
        <v>0</v>
      </c>
      <c r="E31" s="2">
        <v>0</v>
      </c>
      <c r="F31" s="2">
        <v>192</v>
      </c>
      <c r="G31" s="2">
        <v>201.6</v>
      </c>
      <c r="H31" s="2" t="s">
        <v>610</v>
      </c>
      <c r="I31" s="2" t="s">
        <v>610</v>
      </c>
      <c r="J31" s="91">
        <v>48</v>
      </c>
      <c r="K31" s="91">
        <v>8.4</v>
      </c>
      <c r="L31" s="55">
        <v>72</v>
      </c>
      <c r="M31" s="55">
        <v>0</v>
      </c>
      <c r="N31" s="145">
        <v>192</v>
      </c>
      <c r="O31" s="145">
        <v>15.35</v>
      </c>
      <c r="P31" s="145">
        <v>40</v>
      </c>
      <c r="Q31" s="145">
        <v>0</v>
      </c>
      <c r="R31" s="145">
        <v>40</v>
      </c>
      <c r="S31" s="145">
        <v>48.96</v>
      </c>
      <c r="T31" s="5"/>
      <c r="U31" s="5"/>
      <c r="V31" s="5"/>
      <c r="W31" s="5"/>
      <c r="X31" s="5"/>
      <c r="Y31" s="5"/>
      <c r="Z31" s="5"/>
      <c r="AA31" s="5"/>
      <c r="AB31" s="5">
        <v>51</v>
      </c>
      <c r="AC31" s="5">
        <v>48</v>
      </c>
      <c r="AD31" s="5">
        <v>49</v>
      </c>
      <c r="AE31" s="5">
        <v>30.28</v>
      </c>
      <c r="AF31" s="5"/>
      <c r="AG31" s="5"/>
      <c r="AH31" s="5">
        <v>72</v>
      </c>
      <c r="AI31" s="5">
        <v>18</v>
      </c>
      <c r="AJ31" s="5">
        <v>96</v>
      </c>
      <c r="AK31" s="5">
        <v>80</v>
      </c>
      <c r="AL31" s="5">
        <v>36</v>
      </c>
      <c r="AM31" s="91">
        <v>25.5</v>
      </c>
      <c r="AN31" s="33">
        <v>15</v>
      </c>
      <c r="AO31" s="33" t="s">
        <v>610</v>
      </c>
      <c r="AP31" s="33" t="s">
        <v>610</v>
      </c>
      <c r="AQ31" s="33">
        <v>27</v>
      </c>
      <c r="AR31" s="33"/>
      <c r="AS31" s="33"/>
      <c r="AT31" s="33"/>
      <c r="AU31" s="33"/>
      <c r="AV31" s="145" t="s">
        <v>174</v>
      </c>
      <c r="AW31" s="145">
        <v>24</v>
      </c>
      <c r="AX31" s="145" t="s">
        <v>575</v>
      </c>
      <c r="AY31" s="145" t="s">
        <v>306</v>
      </c>
      <c r="AZ31" s="116" t="s">
        <v>318</v>
      </c>
    </row>
    <row r="32" spans="1:52" s="3" customFormat="1" ht="30">
      <c r="A32" s="177" t="s">
        <v>176</v>
      </c>
      <c r="B32" s="152" t="s">
        <v>62</v>
      </c>
      <c r="C32" s="145" t="s">
        <v>177</v>
      </c>
      <c r="D32" s="2">
        <v>0</v>
      </c>
      <c r="E32" s="2">
        <v>0</v>
      </c>
      <c r="F32" s="91">
        <v>240</v>
      </c>
      <c r="G32" s="91">
        <v>47.2</v>
      </c>
      <c r="H32" s="2" t="s">
        <v>610</v>
      </c>
      <c r="I32" s="2" t="s">
        <v>610</v>
      </c>
      <c r="J32" s="91">
        <f>24*24</f>
        <v>576</v>
      </c>
      <c r="K32" s="91">
        <v>33.58</v>
      </c>
      <c r="L32" s="145">
        <v>30</v>
      </c>
      <c r="M32" s="145">
        <v>14</v>
      </c>
      <c r="N32" s="145">
        <v>30</v>
      </c>
      <c r="O32" s="145">
        <v>76.43</v>
      </c>
      <c r="P32" s="145"/>
      <c r="Q32" s="145"/>
      <c r="R32" s="5">
        <v>600</v>
      </c>
      <c r="S32" s="5">
        <v>18</v>
      </c>
      <c r="T32" s="5">
        <v>320</v>
      </c>
      <c r="U32" s="5">
        <v>0</v>
      </c>
      <c r="V32" s="5"/>
      <c r="W32" s="5"/>
      <c r="X32" s="195">
        <v>640</v>
      </c>
      <c r="Y32" s="195">
        <v>623</v>
      </c>
      <c r="Z32" s="195">
        <v>640</v>
      </c>
      <c r="AA32" s="195">
        <v>10</v>
      </c>
      <c r="AB32" s="5">
        <v>1000</v>
      </c>
      <c r="AC32" s="5">
        <v>2550</v>
      </c>
      <c r="AD32" s="5">
        <v>1000</v>
      </c>
      <c r="AE32" s="5">
        <v>100.07</v>
      </c>
      <c r="AF32" s="5"/>
      <c r="AG32" s="5"/>
      <c r="AH32" s="5">
        <v>1298</v>
      </c>
      <c r="AI32" s="5">
        <v>38.44</v>
      </c>
      <c r="AJ32" s="5"/>
      <c r="AK32" s="5"/>
      <c r="AL32" s="5"/>
      <c r="AM32" s="145"/>
      <c r="AN32" s="33">
        <v>54</v>
      </c>
      <c r="AO32" s="40" t="s">
        <v>610</v>
      </c>
      <c r="AP32" s="33" t="s">
        <v>610</v>
      </c>
      <c r="AQ32" s="40">
        <v>33.83</v>
      </c>
      <c r="AR32" s="40"/>
      <c r="AS32" s="40"/>
      <c r="AT32" s="40"/>
      <c r="AU32" s="40"/>
      <c r="AV32" s="145" t="s">
        <v>37</v>
      </c>
      <c r="AW32" s="145">
        <v>25</v>
      </c>
      <c r="AX32" s="145" t="s">
        <v>56</v>
      </c>
      <c r="AY32" s="145" t="s">
        <v>306</v>
      </c>
      <c r="AZ32" s="116" t="s">
        <v>294</v>
      </c>
    </row>
    <row r="33" spans="1:52" s="3" customFormat="1" ht="45">
      <c r="A33" s="1176" t="s">
        <v>646</v>
      </c>
      <c r="B33" s="174" t="s">
        <v>953</v>
      </c>
      <c r="C33" s="2" t="s">
        <v>952</v>
      </c>
      <c r="D33" s="2"/>
      <c r="E33" s="2"/>
      <c r="F33" s="91"/>
      <c r="G33" s="91"/>
      <c r="H33" s="2"/>
      <c r="I33" s="2"/>
      <c r="J33" s="91"/>
      <c r="K33" s="91"/>
      <c r="L33" s="145"/>
      <c r="M33" s="145"/>
      <c r="N33" s="145"/>
      <c r="O33" s="145"/>
      <c r="P33" s="145"/>
      <c r="Q33" s="145"/>
      <c r="R33" s="5"/>
      <c r="S33" s="5"/>
      <c r="T33" s="5"/>
      <c r="U33" s="5"/>
      <c r="V33" s="5"/>
      <c r="W33" s="5"/>
      <c r="X33" s="195"/>
      <c r="Y33" s="195"/>
      <c r="Z33" s="195"/>
      <c r="AA33" s="19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145"/>
      <c r="AN33" s="33"/>
      <c r="AO33" s="40"/>
      <c r="AP33" s="33"/>
      <c r="AQ33" s="40"/>
      <c r="AR33" s="230">
        <v>0</v>
      </c>
      <c r="AS33" s="230">
        <v>0</v>
      </c>
      <c r="AT33" s="2">
        <v>25</v>
      </c>
      <c r="AU33" s="9">
        <v>2.12</v>
      </c>
      <c r="AV33" s="2" t="s">
        <v>524</v>
      </c>
      <c r="AW33" s="2">
        <v>25</v>
      </c>
      <c r="AX33" s="2" t="s">
        <v>957</v>
      </c>
      <c r="AY33" s="145"/>
      <c r="AZ33" s="116"/>
    </row>
    <row r="34" spans="1:52" s="3" customFormat="1" ht="90">
      <c r="A34" s="1176"/>
      <c r="B34" s="174" t="s">
        <v>951</v>
      </c>
      <c r="C34" s="2" t="s">
        <v>950</v>
      </c>
      <c r="D34" s="2"/>
      <c r="E34" s="2"/>
      <c r="F34" s="91"/>
      <c r="G34" s="91"/>
      <c r="H34" s="2"/>
      <c r="I34" s="2"/>
      <c r="J34" s="91"/>
      <c r="K34" s="91"/>
      <c r="L34" s="145"/>
      <c r="M34" s="145"/>
      <c r="N34" s="145"/>
      <c r="O34" s="145"/>
      <c r="P34" s="145"/>
      <c r="Q34" s="145"/>
      <c r="R34" s="5"/>
      <c r="S34" s="5"/>
      <c r="T34" s="5"/>
      <c r="U34" s="5"/>
      <c r="V34" s="5"/>
      <c r="W34" s="5"/>
      <c r="X34" s="195"/>
      <c r="Y34" s="195"/>
      <c r="Z34" s="195"/>
      <c r="AA34" s="19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145"/>
      <c r="AN34" s="33"/>
      <c r="AO34" s="40"/>
      <c r="AP34" s="33"/>
      <c r="AQ34" s="40"/>
      <c r="AR34" s="230">
        <v>0</v>
      </c>
      <c r="AS34" s="230">
        <v>0</v>
      </c>
      <c r="AT34" s="2">
        <v>325</v>
      </c>
      <c r="AU34" s="9">
        <v>5.97</v>
      </c>
      <c r="AV34" s="2" t="s">
        <v>524</v>
      </c>
      <c r="AW34" s="2">
        <v>25</v>
      </c>
      <c r="AX34" s="2" t="s">
        <v>956</v>
      </c>
      <c r="AY34" s="145"/>
      <c r="AZ34" s="116"/>
    </row>
    <row r="35" spans="1:52" s="3" customFormat="1" ht="31.5">
      <c r="A35" s="1176"/>
      <c r="B35" s="174" t="s">
        <v>949</v>
      </c>
      <c r="C35" s="2" t="s">
        <v>948</v>
      </c>
      <c r="D35" s="2"/>
      <c r="E35" s="2"/>
      <c r="F35" s="91"/>
      <c r="G35" s="91"/>
      <c r="H35" s="2"/>
      <c r="I35" s="2"/>
      <c r="J35" s="91"/>
      <c r="K35" s="91"/>
      <c r="L35" s="145"/>
      <c r="M35" s="145"/>
      <c r="N35" s="145"/>
      <c r="O35" s="145"/>
      <c r="P35" s="145"/>
      <c r="Q35" s="145"/>
      <c r="R35" s="5"/>
      <c r="S35" s="5"/>
      <c r="T35" s="5"/>
      <c r="U35" s="5"/>
      <c r="V35" s="5"/>
      <c r="W35" s="5"/>
      <c r="X35" s="195"/>
      <c r="Y35" s="195"/>
      <c r="Z35" s="195"/>
      <c r="AA35" s="19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145"/>
      <c r="AN35" s="33"/>
      <c r="AO35" s="40"/>
      <c r="AP35" s="33"/>
      <c r="AQ35" s="40"/>
      <c r="AR35" s="230">
        <v>0</v>
      </c>
      <c r="AS35" s="230">
        <v>0</v>
      </c>
      <c r="AT35" s="2">
        <v>950</v>
      </c>
      <c r="AU35" s="9">
        <v>5.54</v>
      </c>
      <c r="AV35" s="2" t="s">
        <v>954</v>
      </c>
      <c r="AW35" s="2">
        <v>10</v>
      </c>
      <c r="AX35" s="2" t="s">
        <v>955</v>
      </c>
      <c r="AY35" s="145"/>
      <c r="AZ35" s="116"/>
    </row>
    <row r="36" spans="1:52" s="3" customFormat="1" ht="30">
      <c r="A36" s="177" t="s">
        <v>646</v>
      </c>
      <c r="B36" s="92" t="s">
        <v>647</v>
      </c>
      <c r="C36" s="2" t="s">
        <v>648</v>
      </c>
      <c r="D36" s="91" t="s">
        <v>575</v>
      </c>
      <c r="E36" s="2" t="s">
        <v>575</v>
      </c>
      <c r="F36" s="91">
        <v>96</v>
      </c>
      <c r="G36" s="2">
        <v>51.99</v>
      </c>
      <c r="H36" s="2"/>
      <c r="I36" s="2"/>
      <c r="J36" s="2"/>
      <c r="K36" s="2"/>
      <c r="L36" s="2"/>
      <c r="M36" s="2"/>
      <c r="N36" s="2"/>
      <c r="O36" s="2"/>
      <c r="P36" s="145"/>
      <c r="Q36" s="145"/>
      <c r="R36" s="5"/>
      <c r="S36" s="5"/>
      <c r="T36" s="5">
        <v>8</v>
      </c>
      <c r="U36" s="5">
        <v>0</v>
      </c>
      <c r="V36" s="5">
        <v>44</v>
      </c>
      <c r="W36" s="5">
        <v>2.25</v>
      </c>
      <c r="X36" s="5"/>
      <c r="Y36" s="5"/>
      <c r="Z36" s="5"/>
      <c r="AA36" s="5"/>
      <c r="AB36" s="5">
        <v>8</v>
      </c>
      <c r="AC36" s="5">
        <v>8</v>
      </c>
      <c r="AD36" s="5"/>
      <c r="AE36" s="5"/>
      <c r="AF36" s="5"/>
      <c r="AG36" s="5"/>
      <c r="AH36" s="5"/>
      <c r="AI36" s="5"/>
      <c r="AJ36" s="5"/>
      <c r="AK36" s="5"/>
      <c r="AL36" s="5"/>
      <c r="AM36" s="145"/>
      <c r="AN36" s="33">
        <v>5</v>
      </c>
      <c r="AO36" s="223" t="s">
        <v>610</v>
      </c>
      <c r="AP36" s="33" t="s">
        <v>610</v>
      </c>
      <c r="AQ36" s="40">
        <v>28.98</v>
      </c>
      <c r="AR36" s="40"/>
      <c r="AS36" s="40"/>
      <c r="AT36" s="40"/>
      <c r="AU36" s="40"/>
      <c r="AV36" s="145"/>
      <c r="AW36" s="145"/>
      <c r="AX36" s="145"/>
      <c r="AY36" s="145"/>
      <c r="AZ36" s="116"/>
    </row>
    <row r="37" spans="1:52" s="3" customFormat="1" ht="31.5">
      <c r="A37" s="177" t="s">
        <v>357</v>
      </c>
      <c r="B37" s="152" t="s">
        <v>359</v>
      </c>
      <c r="C37" s="145" t="s">
        <v>226</v>
      </c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>
        <v>192</v>
      </c>
      <c r="AI37" s="5">
        <v>6.72</v>
      </c>
      <c r="AJ37" s="5"/>
      <c r="AK37" s="5"/>
      <c r="AL37" s="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 t="s">
        <v>12</v>
      </c>
      <c r="AW37" s="145">
        <v>25</v>
      </c>
      <c r="AX37" s="145" t="s">
        <v>575</v>
      </c>
      <c r="AY37" s="145" t="s">
        <v>306</v>
      </c>
      <c r="AZ37" s="116" t="s">
        <v>360</v>
      </c>
    </row>
    <row r="38" spans="1:52" s="3" customFormat="1" ht="15.75">
      <c r="A38" s="177" t="s">
        <v>358</v>
      </c>
      <c r="B38" s="152" t="s">
        <v>60</v>
      </c>
      <c r="C38" s="145" t="s">
        <v>226</v>
      </c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>
        <v>510</v>
      </c>
      <c r="AI38" s="5">
        <v>37.74</v>
      </c>
      <c r="AJ38" s="5"/>
      <c r="AK38" s="5"/>
      <c r="AL38" s="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 t="s">
        <v>61</v>
      </c>
      <c r="AW38" s="145">
        <v>25</v>
      </c>
      <c r="AX38" s="145" t="s">
        <v>311</v>
      </c>
      <c r="AY38" s="145" t="s">
        <v>306</v>
      </c>
      <c r="AZ38" s="116" t="s">
        <v>329</v>
      </c>
    </row>
    <row r="39" spans="1:52" s="3" customFormat="1" ht="31.5">
      <c r="A39" s="177" t="s">
        <v>178</v>
      </c>
      <c r="B39" s="152" t="s">
        <v>179</v>
      </c>
      <c r="C39" s="145"/>
      <c r="D39" s="91" t="s">
        <v>575</v>
      </c>
      <c r="E39" s="2" t="s">
        <v>575</v>
      </c>
      <c r="F39" s="91">
        <v>768</v>
      </c>
      <c r="G39" s="2">
        <v>27.29</v>
      </c>
      <c r="H39" s="2"/>
      <c r="I39" s="2"/>
      <c r="J39" s="2"/>
      <c r="K39" s="2"/>
      <c r="L39" s="2"/>
      <c r="M39" s="2"/>
      <c r="N39" s="2"/>
      <c r="O39" s="2"/>
      <c r="P39" s="145"/>
      <c r="Q39" s="145"/>
      <c r="R39" s="145"/>
      <c r="S39" s="145"/>
      <c r="T39" s="5">
        <v>48</v>
      </c>
      <c r="U39" s="5">
        <v>0</v>
      </c>
      <c r="V39" s="5">
        <v>48</v>
      </c>
      <c r="W39" s="5">
        <v>1.19</v>
      </c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145"/>
      <c r="AN39" s="145"/>
      <c r="AO39" s="145"/>
      <c r="AP39" s="145"/>
      <c r="AQ39" s="145"/>
      <c r="AR39" s="145"/>
      <c r="AS39" s="145"/>
      <c r="AT39" s="145"/>
      <c r="AU39" s="145"/>
      <c r="AV39" s="2" t="s">
        <v>37</v>
      </c>
      <c r="AW39" s="2">
        <v>24</v>
      </c>
      <c r="AX39" s="145" t="s">
        <v>311</v>
      </c>
      <c r="AY39" s="2" t="s">
        <v>306</v>
      </c>
      <c r="AZ39" s="118" t="s">
        <v>644</v>
      </c>
    </row>
    <row r="40" spans="1:52" s="3" customFormat="1" ht="31.5">
      <c r="A40" s="177" t="s">
        <v>361</v>
      </c>
      <c r="B40" s="152" t="s">
        <v>179</v>
      </c>
      <c r="C40" s="145" t="s">
        <v>365</v>
      </c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>
        <v>80</v>
      </c>
      <c r="AI40" s="5">
        <v>3.28</v>
      </c>
      <c r="AJ40" s="5"/>
      <c r="AK40" s="5"/>
      <c r="AL40" s="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 t="s">
        <v>23</v>
      </c>
      <c r="AW40" s="145">
        <v>40</v>
      </c>
      <c r="AX40" s="145" t="s">
        <v>13</v>
      </c>
      <c r="AY40" s="1031" t="s">
        <v>548</v>
      </c>
      <c r="AZ40" s="116" t="s">
        <v>328</v>
      </c>
    </row>
    <row r="41" spans="1:52" s="3" customFormat="1" ht="63">
      <c r="A41" s="177" t="s">
        <v>362</v>
      </c>
      <c r="B41" s="152" t="s">
        <v>366</v>
      </c>
      <c r="C41" s="145" t="s">
        <v>367</v>
      </c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>
        <v>900</v>
      </c>
      <c r="AI41" s="5">
        <v>10.71</v>
      </c>
      <c r="AJ41" s="5"/>
      <c r="AK41" s="5"/>
      <c r="AL41" s="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 t="s">
        <v>15</v>
      </c>
      <c r="AW41" s="145">
        <v>30</v>
      </c>
      <c r="AX41" s="145" t="s">
        <v>311</v>
      </c>
      <c r="AY41" s="1032"/>
      <c r="AZ41" s="116" t="s">
        <v>329</v>
      </c>
    </row>
    <row r="42" spans="1:52" s="3" customFormat="1" ht="30">
      <c r="A42" s="177" t="s">
        <v>363</v>
      </c>
      <c r="B42" s="152" t="s">
        <v>368</v>
      </c>
      <c r="C42" s="145" t="s">
        <v>369</v>
      </c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>
        <v>1504</v>
      </c>
      <c r="AI42" s="5">
        <v>37.78</v>
      </c>
      <c r="AJ42" s="5"/>
      <c r="AK42" s="5"/>
      <c r="AL42" s="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 t="s">
        <v>23</v>
      </c>
      <c r="AW42" s="145">
        <v>30</v>
      </c>
      <c r="AX42" s="145" t="s">
        <v>311</v>
      </c>
      <c r="AY42" s="1032"/>
      <c r="AZ42" s="116" t="s">
        <v>329</v>
      </c>
    </row>
    <row r="43" spans="1:52" s="3" customFormat="1" ht="31.5">
      <c r="A43" s="177" t="s">
        <v>364</v>
      </c>
      <c r="B43" s="152" t="s">
        <v>370</v>
      </c>
      <c r="C43" s="145" t="s">
        <v>371</v>
      </c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>
        <v>420</v>
      </c>
      <c r="AI43" s="5">
        <v>3.43</v>
      </c>
      <c r="AJ43" s="5"/>
      <c r="AK43" s="5"/>
      <c r="AL43" s="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 t="s">
        <v>15</v>
      </c>
      <c r="AW43" s="145">
        <v>30</v>
      </c>
      <c r="AX43" s="145" t="s">
        <v>16</v>
      </c>
      <c r="AY43" s="1033"/>
      <c r="AZ43" s="116" t="s">
        <v>330</v>
      </c>
    </row>
    <row r="44" spans="1:52" s="1" customFormat="1" ht="15.75">
      <c r="A44" s="26"/>
      <c r="B44" s="1027" t="s">
        <v>30</v>
      </c>
      <c r="C44" s="1027"/>
      <c r="D44" s="153">
        <f>SUM(D30:D43)</f>
        <v>270</v>
      </c>
      <c r="E44" s="153">
        <f aca="true" t="shared" si="1" ref="E44:AU44">SUM(E30:E43)</f>
        <v>0</v>
      </c>
      <c r="F44" s="153">
        <f t="shared" si="1"/>
        <v>1488</v>
      </c>
      <c r="G44" s="153">
        <f t="shared" si="1"/>
        <v>366.04</v>
      </c>
      <c r="H44" s="153">
        <f t="shared" si="1"/>
        <v>0</v>
      </c>
      <c r="I44" s="153">
        <f t="shared" si="1"/>
        <v>0</v>
      </c>
      <c r="J44" s="153">
        <f t="shared" si="1"/>
        <v>672</v>
      </c>
      <c r="K44" s="153">
        <f t="shared" si="1"/>
        <v>51.98</v>
      </c>
      <c r="L44" s="153">
        <f t="shared" si="1"/>
        <v>102</v>
      </c>
      <c r="M44" s="153">
        <f t="shared" si="1"/>
        <v>14</v>
      </c>
      <c r="N44" s="153">
        <f t="shared" si="1"/>
        <v>318</v>
      </c>
      <c r="O44" s="153">
        <f t="shared" si="1"/>
        <v>100.10000000000001</v>
      </c>
      <c r="P44" s="153">
        <f t="shared" si="1"/>
        <v>40</v>
      </c>
      <c r="Q44" s="153">
        <f t="shared" si="1"/>
        <v>0</v>
      </c>
      <c r="R44" s="153">
        <f t="shared" si="1"/>
        <v>784</v>
      </c>
      <c r="S44" s="153">
        <f t="shared" si="1"/>
        <v>95.43</v>
      </c>
      <c r="T44" s="153">
        <f t="shared" si="1"/>
        <v>472</v>
      </c>
      <c r="U44" s="153">
        <f t="shared" si="1"/>
        <v>50</v>
      </c>
      <c r="V44" s="153">
        <f t="shared" si="1"/>
        <v>92</v>
      </c>
      <c r="W44" s="153">
        <f t="shared" si="1"/>
        <v>3.44</v>
      </c>
      <c r="X44" s="153">
        <f t="shared" si="1"/>
        <v>646</v>
      </c>
      <c r="Y44" s="153">
        <f t="shared" si="1"/>
        <v>629</v>
      </c>
      <c r="Z44" s="153">
        <f t="shared" si="1"/>
        <v>640</v>
      </c>
      <c r="AA44" s="153">
        <f t="shared" si="1"/>
        <v>10</v>
      </c>
      <c r="AB44" s="153">
        <f t="shared" si="1"/>
        <v>2091</v>
      </c>
      <c r="AC44" s="153">
        <f t="shared" si="1"/>
        <v>3355</v>
      </c>
      <c r="AD44" s="153">
        <f t="shared" si="1"/>
        <v>1193</v>
      </c>
      <c r="AE44" s="153">
        <f t="shared" si="1"/>
        <v>160.35</v>
      </c>
      <c r="AF44" s="153">
        <f t="shared" si="1"/>
        <v>0</v>
      </c>
      <c r="AG44" s="153">
        <f t="shared" si="1"/>
        <v>0</v>
      </c>
      <c r="AH44" s="153">
        <f t="shared" si="1"/>
        <v>5036</v>
      </c>
      <c r="AI44" s="153">
        <f t="shared" si="1"/>
        <v>160.3</v>
      </c>
      <c r="AJ44" s="153">
        <f t="shared" si="1"/>
        <v>192</v>
      </c>
      <c r="AK44" s="153">
        <f t="shared" si="1"/>
        <v>160</v>
      </c>
      <c r="AL44" s="153">
        <f t="shared" si="1"/>
        <v>156</v>
      </c>
      <c r="AM44" s="153">
        <f t="shared" si="1"/>
        <v>32.82</v>
      </c>
      <c r="AN44" s="153">
        <f t="shared" si="1"/>
        <v>74</v>
      </c>
      <c r="AO44" s="153">
        <f t="shared" si="1"/>
        <v>0</v>
      </c>
      <c r="AP44" s="153">
        <f t="shared" si="1"/>
        <v>0</v>
      </c>
      <c r="AQ44" s="153">
        <f t="shared" si="1"/>
        <v>89.81</v>
      </c>
      <c r="AR44" s="153">
        <f t="shared" si="1"/>
        <v>0</v>
      </c>
      <c r="AS44" s="153">
        <f t="shared" si="1"/>
        <v>0</v>
      </c>
      <c r="AT44" s="153">
        <f t="shared" si="1"/>
        <v>1300</v>
      </c>
      <c r="AU44" s="153">
        <f t="shared" si="1"/>
        <v>13.629999999999999</v>
      </c>
      <c r="AV44" s="163"/>
      <c r="AW44" s="163"/>
      <c r="AX44" s="163"/>
      <c r="AY44" s="163"/>
      <c r="AZ44" s="243"/>
    </row>
    <row r="45" spans="1:52" s="3" customFormat="1" ht="60">
      <c r="A45" s="177" t="s">
        <v>181</v>
      </c>
      <c r="B45" s="152" t="s">
        <v>57</v>
      </c>
      <c r="C45" s="145" t="s">
        <v>58</v>
      </c>
      <c r="D45" s="2">
        <v>0</v>
      </c>
      <c r="E45" s="2">
        <v>0</v>
      </c>
      <c r="F45" s="2">
        <v>5766</v>
      </c>
      <c r="G45" s="9">
        <v>70.84</v>
      </c>
      <c r="H45" s="145">
        <v>6811</v>
      </c>
      <c r="I45" s="2" t="s">
        <v>610</v>
      </c>
      <c r="J45" s="145">
        <v>15000</v>
      </c>
      <c r="K45" s="30">
        <v>82</v>
      </c>
      <c r="L45" s="224">
        <v>72</v>
      </c>
      <c r="M45" s="224">
        <v>376</v>
      </c>
      <c r="N45" s="55">
        <v>75</v>
      </c>
      <c r="O45" s="55">
        <v>40.37</v>
      </c>
      <c r="P45" s="145"/>
      <c r="Q45" s="2">
        <v>27</v>
      </c>
      <c r="R45" s="145">
        <v>2568</v>
      </c>
      <c r="S45" s="9">
        <v>26.88</v>
      </c>
      <c r="T45" s="2">
        <v>2000</v>
      </c>
      <c r="U45" s="2">
        <v>0</v>
      </c>
      <c r="V45" s="145">
        <v>2600</v>
      </c>
      <c r="W45" s="145">
        <v>60</v>
      </c>
      <c r="X45" s="145"/>
      <c r="Y45" s="145"/>
      <c r="Z45" s="145"/>
      <c r="AA45" s="145"/>
      <c r="AB45" s="203">
        <f>153*30</f>
        <v>4590</v>
      </c>
      <c r="AC45" s="55" t="s">
        <v>704</v>
      </c>
      <c r="AD45" s="203">
        <f>249*30</f>
        <v>7470</v>
      </c>
      <c r="AE45" s="203">
        <v>84.15</v>
      </c>
      <c r="AF45" s="145"/>
      <c r="AG45" s="145"/>
      <c r="AH45" s="145">
        <v>3020</v>
      </c>
      <c r="AI45" s="145">
        <v>58.01</v>
      </c>
      <c r="AJ45" s="145">
        <v>5000</v>
      </c>
      <c r="AK45" s="145">
        <v>0</v>
      </c>
      <c r="AL45" s="145">
        <v>5000</v>
      </c>
      <c r="AM45" s="145">
        <v>125</v>
      </c>
      <c r="AN45" s="67">
        <v>403</v>
      </c>
      <c r="AO45" s="67">
        <v>124</v>
      </c>
      <c r="AP45" s="67">
        <v>400</v>
      </c>
      <c r="AQ45" s="231">
        <v>184.8</v>
      </c>
      <c r="AR45" s="230">
        <v>0</v>
      </c>
      <c r="AS45" s="230">
        <v>24</v>
      </c>
      <c r="AT45" s="2">
        <v>2500</v>
      </c>
      <c r="AU45" s="9">
        <v>30</v>
      </c>
      <c r="AV45" s="145" t="s">
        <v>37</v>
      </c>
      <c r="AW45" s="145" t="s">
        <v>49</v>
      </c>
      <c r="AX45" s="145" t="s">
        <v>59</v>
      </c>
      <c r="AY45" s="145" t="s">
        <v>306</v>
      </c>
      <c r="AZ45" s="116" t="s">
        <v>101</v>
      </c>
    </row>
    <row r="46" spans="1:52" s="3" customFormat="1" ht="60">
      <c r="A46" s="177" t="s">
        <v>183</v>
      </c>
      <c r="B46" s="152" t="s">
        <v>57</v>
      </c>
      <c r="C46" s="145" t="s">
        <v>182</v>
      </c>
      <c r="D46" s="91">
        <v>1560</v>
      </c>
      <c r="E46" s="2">
        <v>0</v>
      </c>
      <c r="F46" s="91">
        <v>1560</v>
      </c>
      <c r="G46" s="129">
        <v>54.46</v>
      </c>
      <c r="H46" s="129"/>
      <c r="I46" s="129"/>
      <c r="J46" s="129"/>
      <c r="K46" s="129"/>
      <c r="L46" s="224">
        <v>20</v>
      </c>
      <c r="M46" s="224">
        <v>78</v>
      </c>
      <c r="N46" s="55">
        <v>10</v>
      </c>
      <c r="O46" s="55">
        <v>10.6</v>
      </c>
      <c r="P46" s="145"/>
      <c r="Q46" s="145">
        <v>20</v>
      </c>
      <c r="R46" s="145">
        <v>1440</v>
      </c>
      <c r="S46" s="55">
        <v>34.52</v>
      </c>
      <c r="T46" s="2">
        <v>625</v>
      </c>
      <c r="U46" s="2">
        <v>0</v>
      </c>
      <c r="V46" s="145">
        <v>675</v>
      </c>
      <c r="W46" s="145">
        <v>30</v>
      </c>
      <c r="X46" s="145"/>
      <c r="Y46" s="145"/>
      <c r="Z46" s="145"/>
      <c r="AA46" s="145"/>
      <c r="AB46" s="203">
        <f>30*20</f>
        <v>600</v>
      </c>
      <c r="AC46" s="55" t="s">
        <v>704</v>
      </c>
      <c r="AD46" s="203">
        <f>AG46*AH46</f>
        <v>0</v>
      </c>
      <c r="AE46" s="227">
        <v>18</v>
      </c>
      <c r="AF46" s="145"/>
      <c r="AG46" s="145"/>
      <c r="AH46" s="145">
        <v>800</v>
      </c>
      <c r="AI46" s="145">
        <v>20.75</v>
      </c>
      <c r="AJ46" s="145">
        <v>700</v>
      </c>
      <c r="AK46" s="145">
        <v>370</v>
      </c>
      <c r="AL46" s="145">
        <v>700</v>
      </c>
      <c r="AM46" s="145">
        <v>35.18</v>
      </c>
      <c r="AN46" s="67">
        <v>99</v>
      </c>
      <c r="AO46" s="67">
        <v>5</v>
      </c>
      <c r="AP46" s="67">
        <v>90</v>
      </c>
      <c r="AQ46" s="67">
        <v>59.04</v>
      </c>
      <c r="AR46" s="230">
        <v>195</v>
      </c>
      <c r="AS46" s="230">
        <v>30</v>
      </c>
      <c r="AT46" s="2">
        <v>195</v>
      </c>
      <c r="AU46" s="2">
        <v>5.27</v>
      </c>
      <c r="AV46" s="145" t="s">
        <v>9</v>
      </c>
      <c r="AW46" s="145">
        <v>20</v>
      </c>
      <c r="AX46" s="145" t="s">
        <v>295</v>
      </c>
      <c r="AY46" s="145" t="s">
        <v>306</v>
      </c>
      <c r="AZ46" s="116" t="s">
        <v>296</v>
      </c>
    </row>
    <row r="47" spans="1:52" s="3" customFormat="1" ht="60">
      <c r="A47" s="177" t="s">
        <v>184</v>
      </c>
      <c r="B47" s="151" t="s">
        <v>52</v>
      </c>
      <c r="C47" s="145" t="s">
        <v>53</v>
      </c>
      <c r="D47" s="2">
        <v>0</v>
      </c>
      <c r="E47" s="2">
        <v>0</v>
      </c>
      <c r="F47" s="91">
        <v>50</v>
      </c>
      <c r="G47" s="91">
        <v>1.98</v>
      </c>
      <c r="H47" s="91"/>
      <c r="I47" s="91"/>
      <c r="J47" s="91"/>
      <c r="K47" s="91"/>
      <c r="L47" s="224"/>
      <c r="M47" s="224"/>
      <c r="N47" s="55">
        <v>25</v>
      </c>
      <c r="O47" s="55">
        <v>0.25</v>
      </c>
      <c r="P47" s="145"/>
      <c r="Q47" s="145"/>
      <c r="R47" s="145"/>
      <c r="S47" s="145"/>
      <c r="T47" s="97"/>
      <c r="U47" s="2"/>
      <c r="V47" s="145">
        <v>25</v>
      </c>
      <c r="W47" s="145">
        <v>1</v>
      </c>
      <c r="X47" s="145"/>
      <c r="Y47" s="145"/>
      <c r="Z47" s="145"/>
      <c r="AA47" s="145"/>
      <c r="AB47" s="203">
        <f>25*2</f>
        <v>50</v>
      </c>
      <c r="AC47" s="55" t="s">
        <v>704</v>
      </c>
      <c r="AD47" s="203">
        <f>AG47*AH47</f>
        <v>0</v>
      </c>
      <c r="AE47" s="227">
        <v>0.7</v>
      </c>
      <c r="AF47" s="145"/>
      <c r="AG47" s="145"/>
      <c r="AH47" s="145">
        <v>30</v>
      </c>
      <c r="AI47" s="145">
        <v>0.74</v>
      </c>
      <c r="AJ47" s="145">
        <v>36</v>
      </c>
      <c r="AK47" s="145">
        <v>0</v>
      </c>
      <c r="AL47" s="145">
        <v>35</v>
      </c>
      <c r="AM47" s="145">
        <v>0.36</v>
      </c>
      <c r="AN47" s="225" t="s">
        <v>610</v>
      </c>
      <c r="AO47" s="225" t="s">
        <v>610</v>
      </c>
      <c r="AP47" s="225" t="s">
        <v>610</v>
      </c>
      <c r="AQ47" s="225" t="s">
        <v>610</v>
      </c>
      <c r="AR47" s="230">
        <v>0</v>
      </c>
      <c r="AS47" s="230">
        <v>0</v>
      </c>
      <c r="AT47" s="2">
        <v>26</v>
      </c>
      <c r="AU47" s="2">
        <v>0.78</v>
      </c>
      <c r="AV47" s="145" t="s">
        <v>35</v>
      </c>
      <c r="AW47" s="145">
        <v>30</v>
      </c>
      <c r="AX47" s="145" t="s">
        <v>54</v>
      </c>
      <c r="AY47" s="145" t="s">
        <v>306</v>
      </c>
      <c r="AZ47" s="116" t="s">
        <v>319</v>
      </c>
    </row>
    <row r="48" spans="1:52" s="3" customFormat="1" ht="60">
      <c r="A48" s="177" t="s">
        <v>186</v>
      </c>
      <c r="B48" s="151" t="s">
        <v>48</v>
      </c>
      <c r="C48" s="145" t="s">
        <v>95</v>
      </c>
      <c r="D48" s="2">
        <v>0</v>
      </c>
      <c r="E48" s="2">
        <v>0</v>
      </c>
      <c r="F48" s="2">
        <v>1505</v>
      </c>
      <c r="G48" s="91">
        <v>20.24</v>
      </c>
      <c r="H48" s="91">
        <v>726</v>
      </c>
      <c r="I48" s="2" t="s">
        <v>610</v>
      </c>
      <c r="J48" s="91">
        <f>22*53</f>
        <v>1166</v>
      </c>
      <c r="K48" s="91">
        <v>16.27</v>
      </c>
      <c r="L48" s="224"/>
      <c r="M48" s="224"/>
      <c r="N48" s="55">
        <v>40</v>
      </c>
      <c r="O48" s="55">
        <v>1.13</v>
      </c>
      <c r="P48" s="2"/>
      <c r="Q48" s="145"/>
      <c r="R48" s="2">
        <v>550</v>
      </c>
      <c r="S48" s="145">
        <v>15.2</v>
      </c>
      <c r="T48" s="2">
        <v>440</v>
      </c>
      <c r="U48" s="2">
        <v>0</v>
      </c>
      <c r="V48" s="145">
        <v>440</v>
      </c>
      <c r="W48" s="145">
        <v>11</v>
      </c>
      <c r="X48" s="145"/>
      <c r="Y48" s="145"/>
      <c r="Z48" s="145"/>
      <c r="AA48" s="145"/>
      <c r="AB48" s="203">
        <f>25*51</f>
        <v>1275</v>
      </c>
      <c r="AC48" s="55" t="s">
        <v>704</v>
      </c>
      <c r="AD48" s="203">
        <f>25*51</f>
        <v>1275</v>
      </c>
      <c r="AE48" s="227">
        <v>20.4</v>
      </c>
      <c r="AF48" s="145"/>
      <c r="AG48" s="145"/>
      <c r="AH48" s="145">
        <v>50</v>
      </c>
      <c r="AI48" s="145">
        <v>19.05</v>
      </c>
      <c r="AJ48" s="145">
        <v>682</v>
      </c>
      <c r="AK48" s="145">
        <v>0</v>
      </c>
      <c r="AL48" s="145">
        <v>800</v>
      </c>
      <c r="AM48" s="145">
        <v>20</v>
      </c>
      <c r="AN48" s="67">
        <v>79</v>
      </c>
      <c r="AO48" s="67">
        <v>5</v>
      </c>
      <c r="AP48" s="67">
        <v>75</v>
      </c>
      <c r="AQ48" s="67">
        <v>19.95</v>
      </c>
      <c r="AR48" s="230">
        <v>0</v>
      </c>
      <c r="AS48" s="230">
        <v>0</v>
      </c>
      <c r="AT48" s="2">
        <v>638</v>
      </c>
      <c r="AU48" s="2">
        <v>7.66</v>
      </c>
      <c r="AV48" s="145" t="s">
        <v>37</v>
      </c>
      <c r="AW48" s="145" t="s">
        <v>49</v>
      </c>
      <c r="AX48" s="145" t="s">
        <v>297</v>
      </c>
      <c r="AY48" s="145" t="s">
        <v>306</v>
      </c>
      <c r="AZ48" s="116" t="s">
        <v>101</v>
      </c>
    </row>
    <row r="49" spans="1:52" s="3" customFormat="1" ht="60">
      <c r="A49" s="177" t="s">
        <v>185</v>
      </c>
      <c r="B49" s="151" t="s">
        <v>180</v>
      </c>
      <c r="C49" s="145" t="s">
        <v>55</v>
      </c>
      <c r="D49" s="2">
        <v>3230</v>
      </c>
      <c r="E49" s="2">
        <v>0</v>
      </c>
      <c r="F49" s="91">
        <v>1850</v>
      </c>
      <c r="G49" s="2">
        <v>11.7</v>
      </c>
      <c r="H49" s="2">
        <v>1230</v>
      </c>
      <c r="I49" s="2" t="s">
        <v>610</v>
      </c>
      <c r="J49" s="2">
        <v>1230</v>
      </c>
      <c r="K49" s="2">
        <v>7.96</v>
      </c>
      <c r="L49" s="224"/>
      <c r="M49" s="224"/>
      <c r="N49" s="55">
        <v>146</v>
      </c>
      <c r="O49" s="55">
        <v>1.61</v>
      </c>
      <c r="P49" s="2"/>
      <c r="Q49" s="145"/>
      <c r="R49" s="2">
        <v>85</v>
      </c>
      <c r="S49" s="145">
        <v>7.2</v>
      </c>
      <c r="T49" s="145"/>
      <c r="U49" s="145"/>
      <c r="V49" s="145"/>
      <c r="W49" s="145"/>
      <c r="X49" s="145"/>
      <c r="Y49" s="145"/>
      <c r="Z49" s="145"/>
      <c r="AA49" s="145"/>
      <c r="AB49" s="203">
        <f>25*51</f>
        <v>1275</v>
      </c>
      <c r="AC49" s="55" t="s">
        <v>704</v>
      </c>
      <c r="AD49" s="203">
        <f>25*51</f>
        <v>1275</v>
      </c>
      <c r="AE49" s="227">
        <v>10.2</v>
      </c>
      <c r="AF49" s="145"/>
      <c r="AG49" s="145"/>
      <c r="AH49" s="145">
        <v>30</v>
      </c>
      <c r="AI49" s="145">
        <v>6.29</v>
      </c>
      <c r="AJ49" s="145">
        <v>2940</v>
      </c>
      <c r="AK49" s="145">
        <v>0</v>
      </c>
      <c r="AL49" s="145">
        <v>2940</v>
      </c>
      <c r="AM49" s="145">
        <v>9.16</v>
      </c>
      <c r="AN49" s="68">
        <v>1019</v>
      </c>
      <c r="AO49" s="67">
        <v>82</v>
      </c>
      <c r="AP49" s="67">
        <v>911</v>
      </c>
      <c r="AQ49" s="67">
        <v>4.56</v>
      </c>
      <c r="AR49" s="230">
        <v>0</v>
      </c>
      <c r="AS49" s="230">
        <v>0</v>
      </c>
      <c r="AT49" s="2">
        <v>95</v>
      </c>
      <c r="AU49" s="2">
        <v>0.57</v>
      </c>
      <c r="AV49" s="145" t="s">
        <v>35</v>
      </c>
      <c r="AW49" s="145" t="s">
        <v>49</v>
      </c>
      <c r="AX49" s="145" t="s">
        <v>56</v>
      </c>
      <c r="AY49" s="145" t="s">
        <v>306</v>
      </c>
      <c r="AZ49" s="116" t="s">
        <v>101</v>
      </c>
    </row>
    <row r="50" spans="1:52" s="3" customFormat="1" ht="15.75">
      <c r="A50" s="177" t="s">
        <v>883</v>
      </c>
      <c r="B50" s="103" t="s">
        <v>882</v>
      </c>
      <c r="C50" s="145" t="s">
        <v>610</v>
      </c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2"/>
      <c r="Q50" s="145"/>
      <c r="R50" s="2"/>
      <c r="S50" s="145"/>
      <c r="T50" s="145"/>
      <c r="U50" s="145"/>
      <c r="V50" s="145"/>
      <c r="W50" s="145"/>
      <c r="X50" s="145"/>
      <c r="Y50" s="145"/>
      <c r="Z50" s="145"/>
      <c r="AA50" s="145"/>
      <c r="AB50" s="203"/>
      <c r="AC50" s="55"/>
      <c r="AD50" s="203"/>
      <c r="AE50" s="227"/>
      <c r="AF50" s="145"/>
      <c r="AG50" s="145"/>
      <c r="AH50" s="145"/>
      <c r="AI50" s="145"/>
      <c r="AJ50" s="145"/>
      <c r="AK50" s="145"/>
      <c r="AL50" s="145"/>
      <c r="AM50" s="145"/>
      <c r="AN50" s="225" t="s">
        <v>610</v>
      </c>
      <c r="AO50" s="225" t="s">
        <v>610</v>
      </c>
      <c r="AP50" s="67">
        <v>662</v>
      </c>
      <c r="AQ50" s="67">
        <v>132.48</v>
      </c>
      <c r="AR50" s="67"/>
      <c r="AS50" s="67"/>
      <c r="AT50" s="67"/>
      <c r="AU50" s="67"/>
      <c r="AV50" s="145"/>
      <c r="AW50" s="145"/>
      <c r="AX50" s="145"/>
      <c r="AY50" s="145"/>
      <c r="AZ50" s="116"/>
    </row>
    <row r="51" spans="1:52" s="3" customFormat="1" ht="120">
      <c r="A51" s="177" t="s">
        <v>570</v>
      </c>
      <c r="B51" s="1173" t="s">
        <v>232</v>
      </c>
      <c r="C51" s="2" t="s">
        <v>571</v>
      </c>
      <c r="D51" s="91">
        <v>513</v>
      </c>
      <c r="E51" s="91">
        <v>0</v>
      </c>
      <c r="F51" s="145">
        <v>4</v>
      </c>
      <c r="G51" s="145">
        <v>29.48</v>
      </c>
      <c r="H51" s="91"/>
      <c r="I51" s="2"/>
      <c r="J51" s="91">
        <f>1637+755+764</f>
        <v>3156</v>
      </c>
      <c r="K51" s="91">
        <v>182.97</v>
      </c>
      <c r="L51" s="239"/>
      <c r="M51" s="239"/>
      <c r="N51" s="2">
        <v>38</v>
      </c>
      <c r="O51" s="2">
        <v>79.84</v>
      </c>
      <c r="P51" s="2"/>
      <c r="Q51" s="145"/>
      <c r="R51" s="145" t="s">
        <v>572</v>
      </c>
      <c r="S51" s="9">
        <v>14.16</v>
      </c>
      <c r="T51" s="55" t="s">
        <v>645</v>
      </c>
      <c r="U51" s="2">
        <v>262</v>
      </c>
      <c r="V51" s="2">
        <v>43</v>
      </c>
      <c r="W51" s="145"/>
      <c r="X51" s="145"/>
      <c r="Y51" s="145"/>
      <c r="Z51" s="145"/>
      <c r="AA51" s="145"/>
      <c r="AB51" s="203">
        <f>80*32</f>
        <v>2560</v>
      </c>
      <c r="AC51" s="55">
        <v>0</v>
      </c>
      <c r="AD51" s="226">
        <v>3280</v>
      </c>
      <c r="AE51" s="227">
        <v>171</v>
      </c>
      <c r="AF51" s="145"/>
      <c r="AG51" s="145"/>
      <c r="AH51" s="145"/>
      <c r="AI51" s="145"/>
      <c r="AJ51" s="2" t="s">
        <v>816</v>
      </c>
      <c r="AK51" s="2">
        <v>0</v>
      </c>
      <c r="AL51" s="2">
        <v>2040</v>
      </c>
      <c r="AM51" s="91">
        <v>136.68</v>
      </c>
      <c r="AN51" s="33">
        <v>2124</v>
      </c>
      <c r="AO51" s="223">
        <v>58</v>
      </c>
      <c r="AP51" s="232" t="s">
        <v>610</v>
      </c>
      <c r="AQ51" s="40">
        <v>212.45</v>
      </c>
      <c r="AR51" s="40"/>
      <c r="AS51" s="40"/>
      <c r="AT51" s="40"/>
      <c r="AU51" s="40"/>
      <c r="AV51" s="145" t="s">
        <v>71</v>
      </c>
      <c r="AW51" s="145"/>
      <c r="AX51" s="145" t="s">
        <v>573</v>
      </c>
      <c r="AY51" s="55" t="s">
        <v>548</v>
      </c>
      <c r="AZ51" s="119" t="s">
        <v>306</v>
      </c>
    </row>
    <row r="52" spans="1:52" s="3" customFormat="1" ht="60">
      <c r="A52" s="1170" t="s">
        <v>231</v>
      </c>
      <c r="B52" s="1174"/>
      <c r="C52" s="145" t="s">
        <v>159</v>
      </c>
      <c r="D52" s="1040">
        <v>13</v>
      </c>
      <c r="E52" s="1040">
        <v>0</v>
      </c>
      <c r="F52" s="1040">
        <v>3</v>
      </c>
      <c r="G52" s="1031">
        <v>44.01</v>
      </c>
      <c r="H52" s="91"/>
      <c r="I52" s="2"/>
      <c r="J52" s="2"/>
      <c r="K52" s="91">
        <v>24.72</v>
      </c>
      <c r="L52" s="131"/>
      <c r="M52" s="2"/>
      <c r="N52" s="2">
        <v>6</v>
      </c>
      <c r="O52" s="2">
        <v>26.77</v>
      </c>
      <c r="P52" s="145">
        <v>252</v>
      </c>
      <c r="Q52" s="2">
        <v>0</v>
      </c>
      <c r="R52" s="145"/>
      <c r="S52" s="2">
        <v>30.22</v>
      </c>
      <c r="T52" s="2">
        <v>154</v>
      </c>
      <c r="U52" s="2">
        <v>24</v>
      </c>
      <c r="V52" s="2"/>
      <c r="W52" s="2"/>
      <c r="X52" s="2"/>
      <c r="Y52" s="2"/>
      <c r="Z52" s="2"/>
      <c r="AA52" s="2"/>
      <c r="AB52" s="203">
        <v>8</v>
      </c>
      <c r="AC52" s="55">
        <v>0</v>
      </c>
      <c r="AD52" s="226">
        <v>12</v>
      </c>
      <c r="AE52" s="227">
        <v>102</v>
      </c>
      <c r="AF52" s="145"/>
      <c r="AG52" s="145"/>
      <c r="AH52" s="145">
        <v>410</v>
      </c>
      <c r="AI52" s="145">
        <v>124.45</v>
      </c>
      <c r="AJ52" s="2">
        <v>91</v>
      </c>
      <c r="AK52" s="2">
        <v>0</v>
      </c>
      <c r="AL52" s="2">
        <v>150</v>
      </c>
      <c r="AM52" s="91">
        <v>30</v>
      </c>
      <c r="AN52" s="232" t="s">
        <v>610</v>
      </c>
      <c r="AO52" s="232" t="s">
        <v>610</v>
      </c>
      <c r="AP52" s="33">
        <v>4</v>
      </c>
      <c r="AQ52" s="40">
        <v>40</v>
      </c>
      <c r="AR52" s="40"/>
      <c r="AS52" s="40"/>
      <c r="AT52" s="40"/>
      <c r="AU52" s="40"/>
      <c r="AV52" s="145" t="s">
        <v>233</v>
      </c>
      <c r="AW52" s="145" t="s">
        <v>575</v>
      </c>
      <c r="AX52" s="145" t="s">
        <v>320</v>
      </c>
      <c r="AY52" s="145" t="s">
        <v>306</v>
      </c>
      <c r="AZ52" s="116" t="s">
        <v>323</v>
      </c>
    </row>
    <row r="53" spans="1:52" s="3" customFormat="1" ht="60">
      <c r="A53" s="1171"/>
      <c r="B53" s="1174"/>
      <c r="C53" s="145" t="s">
        <v>234</v>
      </c>
      <c r="D53" s="1041"/>
      <c r="E53" s="1041"/>
      <c r="F53" s="1041"/>
      <c r="G53" s="1032"/>
      <c r="H53" s="149"/>
      <c r="I53" s="149"/>
      <c r="J53" s="149"/>
      <c r="K53" s="149"/>
      <c r="L53" s="149"/>
      <c r="M53" s="149"/>
      <c r="N53" s="149"/>
      <c r="O53" s="149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203"/>
      <c r="AC53" s="55"/>
      <c r="AD53" s="226"/>
      <c r="AE53" s="227"/>
      <c r="AF53" s="145"/>
      <c r="AG53" s="145"/>
      <c r="AH53" s="145">
        <v>10</v>
      </c>
      <c r="AI53" s="145">
        <v>10.85</v>
      </c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 t="s">
        <v>37</v>
      </c>
      <c r="AW53" s="145" t="s">
        <v>967</v>
      </c>
      <c r="AX53" s="145" t="s">
        <v>980</v>
      </c>
      <c r="AY53" s="145" t="s">
        <v>306</v>
      </c>
      <c r="AZ53" s="116" t="s">
        <v>324</v>
      </c>
    </row>
    <row r="54" spans="1:52" s="3" customFormat="1" ht="30">
      <c r="A54" s="1171"/>
      <c r="B54" s="1174"/>
      <c r="C54" s="145" t="s">
        <v>235</v>
      </c>
      <c r="D54" s="1041"/>
      <c r="E54" s="1041"/>
      <c r="F54" s="1041"/>
      <c r="G54" s="1032"/>
      <c r="H54" s="149"/>
      <c r="I54" s="149"/>
      <c r="J54" s="149"/>
      <c r="K54" s="149"/>
      <c r="L54" s="149"/>
      <c r="M54" s="149"/>
      <c r="N54" s="149"/>
      <c r="O54" s="149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203"/>
      <c r="AC54" s="55"/>
      <c r="AD54" s="226"/>
      <c r="AE54" s="227"/>
      <c r="AF54" s="145"/>
      <c r="AG54" s="145"/>
      <c r="AH54" s="145">
        <v>15</v>
      </c>
      <c r="AI54" s="145">
        <v>1.39</v>
      </c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 t="s">
        <v>37</v>
      </c>
      <c r="AW54" s="145" t="s">
        <v>861</v>
      </c>
      <c r="AX54" s="145" t="s">
        <v>979</v>
      </c>
      <c r="AY54" s="145" t="s">
        <v>306</v>
      </c>
      <c r="AZ54" s="116" t="s">
        <v>324</v>
      </c>
    </row>
    <row r="55" spans="1:52" s="3" customFormat="1" ht="30">
      <c r="A55" s="1171"/>
      <c r="B55" s="1174"/>
      <c r="C55" s="145" t="s">
        <v>236</v>
      </c>
      <c r="D55" s="1042"/>
      <c r="E55" s="1042"/>
      <c r="F55" s="1042"/>
      <c r="G55" s="1033"/>
      <c r="H55" s="150"/>
      <c r="I55" s="150"/>
      <c r="J55" s="150"/>
      <c r="K55" s="150"/>
      <c r="L55" s="150"/>
      <c r="M55" s="150"/>
      <c r="N55" s="150"/>
      <c r="O55" s="150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203"/>
      <c r="AC55" s="55"/>
      <c r="AD55" s="226"/>
      <c r="AE55" s="227"/>
      <c r="AF55" s="145"/>
      <c r="AG55" s="145"/>
      <c r="AH55" s="145">
        <v>40</v>
      </c>
      <c r="AI55" s="145">
        <v>1.63</v>
      </c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 t="s">
        <v>9</v>
      </c>
      <c r="AW55" s="145" t="s">
        <v>978</v>
      </c>
      <c r="AX55" s="145" t="s">
        <v>13</v>
      </c>
      <c r="AY55" s="145" t="s">
        <v>306</v>
      </c>
      <c r="AZ55" s="116" t="s">
        <v>324</v>
      </c>
    </row>
    <row r="56" spans="1:52" s="3" customFormat="1" ht="15">
      <c r="A56" s="1172"/>
      <c r="B56" s="1175"/>
      <c r="C56" s="145" t="s">
        <v>940</v>
      </c>
      <c r="D56" s="144"/>
      <c r="E56" s="144"/>
      <c r="F56" s="144"/>
      <c r="G56" s="150"/>
      <c r="H56" s="150"/>
      <c r="I56" s="150"/>
      <c r="J56" s="150"/>
      <c r="K56" s="150"/>
      <c r="L56" s="150"/>
      <c r="M56" s="150"/>
      <c r="N56" s="150">
        <v>5000</v>
      </c>
      <c r="O56" s="150">
        <v>10</v>
      </c>
      <c r="P56" s="145"/>
      <c r="Q56" s="145"/>
      <c r="R56" s="148"/>
      <c r="S56" s="148"/>
      <c r="T56" s="145"/>
      <c r="U56" s="145"/>
      <c r="V56" s="145"/>
      <c r="W56" s="145"/>
      <c r="X56" s="145"/>
      <c r="Y56" s="145"/>
      <c r="Z56" s="145"/>
      <c r="AA56" s="145"/>
      <c r="AB56" s="203"/>
      <c r="AC56" s="55"/>
      <c r="AD56" s="226"/>
      <c r="AE56" s="227"/>
      <c r="AF56" s="145"/>
      <c r="AG56" s="145"/>
      <c r="AH56" s="145"/>
      <c r="AI56" s="145"/>
      <c r="AJ56" s="145"/>
      <c r="AK56" s="145"/>
      <c r="AL56" s="145"/>
      <c r="AM56" s="145"/>
      <c r="AN56" s="148"/>
      <c r="AO56" s="148"/>
      <c r="AP56" s="148"/>
      <c r="AQ56" s="148"/>
      <c r="AR56" s="148"/>
      <c r="AS56" s="148"/>
      <c r="AT56" s="148"/>
      <c r="AU56" s="148"/>
      <c r="AV56" s="145" t="s">
        <v>15</v>
      </c>
      <c r="AW56" s="148"/>
      <c r="AX56" s="148" t="s">
        <v>56</v>
      </c>
      <c r="AY56" s="148" t="s">
        <v>306</v>
      </c>
      <c r="AZ56" s="159" t="s">
        <v>306</v>
      </c>
    </row>
    <row r="57" spans="1:52" s="3" customFormat="1" ht="15">
      <c r="A57" s="1151" t="s">
        <v>237</v>
      </c>
      <c r="B57" s="1160" t="s">
        <v>241</v>
      </c>
      <c r="C57" s="145" t="s">
        <v>242</v>
      </c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36"/>
      <c r="Q57" s="36"/>
      <c r="R57" s="1031">
        <v>600</v>
      </c>
      <c r="S57" s="1031">
        <v>14.21</v>
      </c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36"/>
      <c r="AG57" s="145"/>
      <c r="AH57" s="145">
        <v>30</v>
      </c>
      <c r="AI57" s="1062">
        <v>3.75</v>
      </c>
      <c r="AJ57" s="145"/>
      <c r="AK57" s="145"/>
      <c r="AL57" s="145"/>
      <c r="AM57" s="145"/>
      <c r="AN57" s="1145" t="s">
        <v>877</v>
      </c>
      <c r="AO57" s="1148">
        <v>66</v>
      </c>
      <c r="AP57" s="1145">
        <v>3200</v>
      </c>
      <c r="AQ57" s="1154">
        <v>38.21</v>
      </c>
      <c r="AR57" s="233"/>
      <c r="AS57" s="233"/>
      <c r="AT57" s="233"/>
      <c r="AU57" s="233"/>
      <c r="AV57" s="145" t="s">
        <v>301</v>
      </c>
      <c r="AW57" s="1031" t="s">
        <v>321</v>
      </c>
      <c r="AX57" s="1031" t="s">
        <v>13</v>
      </c>
      <c r="AY57" s="1031" t="s">
        <v>306</v>
      </c>
      <c r="AZ57" s="1177" t="s">
        <v>322</v>
      </c>
    </row>
    <row r="58" spans="1:52" s="3" customFormat="1" ht="15">
      <c r="A58" s="1152"/>
      <c r="B58" s="1160"/>
      <c r="C58" s="145" t="s">
        <v>238</v>
      </c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36"/>
      <c r="Q58" s="36"/>
      <c r="R58" s="1032"/>
      <c r="S58" s="1032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36"/>
      <c r="AG58" s="145"/>
      <c r="AH58" s="145">
        <v>30</v>
      </c>
      <c r="AI58" s="1062"/>
      <c r="AJ58" s="145"/>
      <c r="AK58" s="145"/>
      <c r="AL58" s="145"/>
      <c r="AM58" s="145"/>
      <c r="AN58" s="1146"/>
      <c r="AO58" s="1149"/>
      <c r="AP58" s="1146"/>
      <c r="AQ58" s="1155"/>
      <c r="AR58" s="234"/>
      <c r="AS58" s="234"/>
      <c r="AT58" s="234"/>
      <c r="AU58" s="234"/>
      <c r="AV58" s="145" t="s">
        <v>301</v>
      </c>
      <c r="AW58" s="1032"/>
      <c r="AX58" s="1032"/>
      <c r="AY58" s="1032"/>
      <c r="AZ58" s="1178"/>
    </row>
    <row r="59" spans="1:52" s="3" customFormat="1" ht="15">
      <c r="A59" s="1152"/>
      <c r="B59" s="1160"/>
      <c r="C59" s="145" t="s">
        <v>239</v>
      </c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36"/>
      <c r="Q59" s="36"/>
      <c r="R59" s="1032"/>
      <c r="S59" s="1032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36"/>
      <c r="AG59" s="145"/>
      <c r="AH59" s="145">
        <v>30</v>
      </c>
      <c r="AI59" s="1062"/>
      <c r="AJ59" s="145"/>
      <c r="AK59" s="145"/>
      <c r="AL59" s="145"/>
      <c r="AM59" s="145"/>
      <c r="AN59" s="1146"/>
      <c r="AO59" s="1149"/>
      <c r="AP59" s="1146"/>
      <c r="AQ59" s="1155"/>
      <c r="AR59" s="234"/>
      <c r="AS59" s="234"/>
      <c r="AT59" s="234"/>
      <c r="AU59" s="234"/>
      <c r="AV59" s="145" t="s">
        <v>301</v>
      </c>
      <c r="AW59" s="1032"/>
      <c r="AX59" s="1032"/>
      <c r="AY59" s="1032"/>
      <c r="AZ59" s="1178"/>
    </row>
    <row r="60" spans="1:52" s="3" customFormat="1" ht="15">
      <c r="A60" s="1152"/>
      <c r="B60" s="1160"/>
      <c r="C60" s="145" t="s">
        <v>240</v>
      </c>
      <c r="D60" s="91">
        <v>0</v>
      </c>
      <c r="E60" s="91">
        <v>0</v>
      </c>
      <c r="F60" s="1040">
        <v>45</v>
      </c>
      <c r="G60" s="1040">
        <v>16.97</v>
      </c>
      <c r="H60" s="91"/>
      <c r="I60" s="2"/>
      <c r="J60" s="2"/>
      <c r="K60" s="91">
        <v>4.76</v>
      </c>
      <c r="L60" s="131"/>
      <c r="M60" s="2"/>
      <c r="N60" s="2"/>
      <c r="O60" s="2">
        <v>36.95</v>
      </c>
      <c r="P60" s="36"/>
      <c r="Q60" s="36"/>
      <c r="R60" s="1032"/>
      <c r="S60" s="1032"/>
      <c r="T60" s="145"/>
      <c r="U60" s="145"/>
      <c r="V60" s="145">
        <v>630</v>
      </c>
      <c r="W60" s="145">
        <v>9.23</v>
      </c>
      <c r="X60" s="145"/>
      <c r="Y60" s="145"/>
      <c r="Z60" s="145"/>
      <c r="AA60" s="145"/>
      <c r="AB60" s="203">
        <v>4239</v>
      </c>
      <c r="AC60" s="55">
        <v>0</v>
      </c>
      <c r="AD60" s="226">
        <v>4239</v>
      </c>
      <c r="AE60" s="227">
        <v>30</v>
      </c>
      <c r="AF60" s="36"/>
      <c r="AG60" s="145"/>
      <c r="AH60" s="145">
        <v>60</v>
      </c>
      <c r="AI60" s="1062"/>
      <c r="AJ60" s="145"/>
      <c r="AK60" s="145"/>
      <c r="AL60" s="145"/>
      <c r="AM60" s="145"/>
      <c r="AN60" s="1146"/>
      <c r="AO60" s="1149"/>
      <c r="AP60" s="1146"/>
      <c r="AQ60" s="1155"/>
      <c r="AR60" s="234"/>
      <c r="AS60" s="234"/>
      <c r="AT60" s="234"/>
      <c r="AU60" s="234"/>
      <c r="AV60" s="145" t="s">
        <v>301</v>
      </c>
      <c r="AW60" s="1033"/>
      <c r="AX60" s="1033"/>
      <c r="AY60" s="1033"/>
      <c r="AZ60" s="1179"/>
    </row>
    <row r="61" spans="1:52" s="3" customFormat="1" ht="15">
      <c r="A61" s="1152"/>
      <c r="B61" s="1160" t="s">
        <v>246</v>
      </c>
      <c r="C61" s="145" t="s">
        <v>243</v>
      </c>
      <c r="D61" s="145"/>
      <c r="E61" s="145"/>
      <c r="F61" s="1042"/>
      <c r="G61" s="1042"/>
      <c r="H61" s="144"/>
      <c r="I61" s="144"/>
      <c r="J61" s="144"/>
      <c r="K61" s="144"/>
      <c r="L61" s="144"/>
      <c r="M61" s="144"/>
      <c r="N61" s="144"/>
      <c r="O61" s="144"/>
      <c r="P61" s="36"/>
      <c r="Q61" s="36"/>
      <c r="R61" s="1032"/>
      <c r="S61" s="1032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36"/>
      <c r="AG61" s="145"/>
      <c r="AH61" s="145">
        <v>314</v>
      </c>
      <c r="AI61" s="1062">
        <v>9.42</v>
      </c>
      <c r="AJ61" s="2">
        <v>2340</v>
      </c>
      <c r="AK61" s="2">
        <v>0</v>
      </c>
      <c r="AL61" s="2">
        <v>2520</v>
      </c>
      <c r="AM61" s="91">
        <v>8.4</v>
      </c>
      <c r="AN61" s="1146"/>
      <c r="AO61" s="1149"/>
      <c r="AP61" s="1146"/>
      <c r="AQ61" s="1155"/>
      <c r="AR61" s="234"/>
      <c r="AS61" s="234"/>
      <c r="AT61" s="234"/>
      <c r="AU61" s="234"/>
      <c r="AV61" s="145" t="s">
        <v>301</v>
      </c>
      <c r="AW61" s="1031" t="s">
        <v>549</v>
      </c>
      <c r="AX61" s="145" t="s">
        <v>311</v>
      </c>
      <c r="AY61" s="145" t="s">
        <v>306</v>
      </c>
      <c r="AZ61" s="116" t="s">
        <v>325</v>
      </c>
    </row>
    <row r="62" spans="1:52" s="3" customFormat="1" ht="15">
      <c r="A62" s="1152"/>
      <c r="B62" s="1160"/>
      <c r="C62" s="145" t="s">
        <v>244</v>
      </c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032"/>
      <c r="S62" s="1032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>
        <v>314</v>
      </c>
      <c r="AI62" s="1062"/>
      <c r="AJ62" s="145"/>
      <c r="AK62" s="145"/>
      <c r="AL62" s="145"/>
      <c r="AM62" s="145"/>
      <c r="AN62" s="1146"/>
      <c r="AO62" s="1149"/>
      <c r="AP62" s="1146"/>
      <c r="AQ62" s="1155"/>
      <c r="AR62" s="234"/>
      <c r="AS62" s="234"/>
      <c r="AT62" s="234"/>
      <c r="AU62" s="234"/>
      <c r="AV62" s="145" t="s">
        <v>301</v>
      </c>
      <c r="AW62" s="1033"/>
      <c r="AX62" s="145" t="s">
        <v>311</v>
      </c>
      <c r="AY62" s="145" t="s">
        <v>306</v>
      </c>
      <c r="AZ62" s="116" t="s">
        <v>325</v>
      </c>
    </row>
    <row r="63" spans="1:52" s="3" customFormat="1" ht="31.5">
      <c r="A63" s="1153"/>
      <c r="B63" s="147" t="s">
        <v>247</v>
      </c>
      <c r="C63" s="145" t="s">
        <v>245</v>
      </c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033"/>
      <c r="S63" s="1033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>
        <v>2940</v>
      </c>
      <c r="AI63" s="145">
        <v>32.75</v>
      </c>
      <c r="AJ63" s="145"/>
      <c r="AK63" s="145"/>
      <c r="AL63" s="145"/>
      <c r="AM63" s="145"/>
      <c r="AN63" s="1147"/>
      <c r="AO63" s="1150"/>
      <c r="AP63" s="1147"/>
      <c r="AQ63" s="1156"/>
      <c r="AR63" s="235"/>
      <c r="AS63" s="235"/>
      <c r="AT63" s="235"/>
      <c r="AU63" s="235"/>
      <c r="AV63" s="145" t="s">
        <v>41</v>
      </c>
      <c r="AW63" s="145">
        <v>30</v>
      </c>
      <c r="AX63" s="145" t="s">
        <v>16</v>
      </c>
      <c r="AY63" s="145" t="s">
        <v>306</v>
      </c>
      <c r="AZ63" s="116" t="s">
        <v>326</v>
      </c>
    </row>
    <row r="64" spans="1:52" s="3" customFormat="1" ht="45">
      <c r="A64" s="244" t="s">
        <v>741</v>
      </c>
      <c r="B64" s="103" t="s">
        <v>742</v>
      </c>
      <c r="C64" s="228" t="s">
        <v>743</v>
      </c>
      <c r="D64" s="91">
        <v>0</v>
      </c>
      <c r="E64" s="91">
        <v>0</v>
      </c>
      <c r="F64" s="91">
        <v>325</v>
      </c>
      <c r="G64" s="91">
        <v>76.38</v>
      </c>
      <c r="H64" s="91"/>
      <c r="I64" s="2"/>
      <c r="J64" s="2"/>
      <c r="K64" s="91">
        <v>41.16</v>
      </c>
      <c r="L64" s="142"/>
      <c r="M64" s="142"/>
      <c r="N64" s="142"/>
      <c r="O64" s="142"/>
      <c r="P64" s="148"/>
      <c r="Q64" s="148"/>
      <c r="R64" s="149"/>
      <c r="S64" s="149"/>
      <c r="T64" s="148"/>
      <c r="U64" s="148"/>
      <c r="V64" s="148"/>
      <c r="W64" s="148"/>
      <c r="X64" s="148"/>
      <c r="Y64" s="148"/>
      <c r="Z64" s="148"/>
      <c r="AA64" s="148"/>
      <c r="AB64" s="203">
        <v>50</v>
      </c>
      <c r="AC64" s="55">
        <v>0</v>
      </c>
      <c r="AD64" s="226">
        <v>102</v>
      </c>
      <c r="AE64" s="227">
        <v>2</v>
      </c>
      <c r="AF64" s="148"/>
      <c r="AG64" s="148"/>
      <c r="AH64" s="148"/>
      <c r="AI64" s="148"/>
      <c r="AJ64" s="2">
        <v>350</v>
      </c>
      <c r="AK64" s="2">
        <v>0</v>
      </c>
      <c r="AL64" s="2">
        <v>15000</v>
      </c>
      <c r="AM64" s="91">
        <v>37.5</v>
      </c>
      <c r="AN64" s="33" t="s">
        <v>878</v>
      </c>
      <c r="AO64" s="223">
        <v>33</v>
      </c>
      <c r="AP64" s="232" t="s">
        <v>610</v>
      </c>
      <c r="AQ64" s="40">
        <v>116.55</v>
      </c>
      <c r="AR64" s="40"/>
      <c r="AS64" s="40"/>
      <c r="AT64" s="40"/>
      <c r="AU64" s="40"/>
      <c r="AV64" s="55" t="s">
        <v>15</v>
      </c>
      <c r="AW64" s="148"/>
      <c r="AX64" s="55" t="s">
        <v>64</v>
      </c>
      <c r="AY64" s="203" t="s">
        <v>306</v>
      </c>
      <c r="AZ64" s="236" t="s">
        <v>306</v>
      </c>
    </row>
    <row r="65" spans="1:52" s="3" customFormat="1" ht="31.5">
      <c r="A65" s="244" t="s">
        <v>744</v>
      </c>
      <c r="B65" s="103" t="s">
        <v>745</v>
      </c>
      <c r="C65" s="228" t="s">
        <v>746</v>
      </c>
      <c r="D65" s="91">
        <v>32571</v>
      </c>
      <c r="E65" s="91">
        <v>0</v>
      </c>
      <c r="F65" s="91">
        <v>1018</v>
      </c>
      <c r="G65" s="203">
        <v>144.56</v>
      </c>
      <c r="H65" s="229"/>
      <c r="I65" s="229"/>
      <c r="J65" s="229"/>
      <c r="K65" s="229"/>
      <c r="L65" s="229"/>
      <c r="M65" s="229"/>
      <c r="N65" s="229"/>
      <c r="O65" s="229"/>
      <c r="P65" s="148"/>
      <c r="Q65" s="148"/>
      <c r="R65" s="149"/>
      <c r="S65" s="149"/>
      <c r="T65" s="148"/>
      <c r="U65" s="148"/>
      <c r="V65" s="148"/>
      <c r="W65" s="148"/>
      <c r="X65" s="148"/>
      <c r="Y65" s="148"/>
      <c r="Z65" s="148"/>
      <c r="AA65" s="148"/>
      <c r="AB65" s="203">
        <v>56188</v>
      </c>
      <c r="AC65" s="55">
        <v>0</v>
      </c>
      <c r="AD65" s="226">
        <v>56188</v>
      </c>
      <c r="AE65" s="227">
        <v>25.2</v>
      </c>
      <c r="AF65" s="148"/>
      <c r="AG65" s="148"/>
      <c r="AH65" s="148"/>
      <c r="AI65" s="148"/>
      <c r="AJ65" s="148"/>
      <c r="AK65" s="148"/>
      <c r="AL65" s="148"/>
      <c r="AM65" s="148"/>
      <c r="AN65" s="33" t="s">
        <v>879</v>
      </c>
      <c r="AO65" s="223">
        <v>253</v>
      </c>
      <c r="AP65" s="232" t="s">
        <v>610</v>
      </c>
      <c r="AQ65" s="40">
        <v>12.91</v>
      </c>
      <c r="AR65" s="40"/>
      <c r="AS65" s="40"/>
      <c r="AT65" s="40"/>
      <c r="AU65" s="40"/>
      <c r="AV65" s="55" t="s">
        <v>747</v>
      </c>
      <c r="AW65" s="148"/>
      <c r="AX65" s="55" t="s">
        <v>748</v>
      </c>
      <c r="AY65" s="203" t="s">
        <v>306</v>
      </c>
      <c r="AZ65" s="236" t="s">
        <v>306</v>
      </c>
    </row>
    <row r="66" spans="1:52" s="1" customFormat="1" ht="16.5" thickBot="1">
      <c r="A66" s="245"/>
      <c r="B66" s="1129" t="s">
        <v>30</v>
      </c>
      <c r="C66" s="1129"/>
      <c r="D66" s="154">
        <f>SUM(D45:D65)</f>
        <v>37887</v>
      </c>
      <c r="E66" s="154">
        <f aca="true" t="shared" si="2" ref="E66:AU66">SUM(E45:E65)</f>
        <v>0</v>
      </c>
      <c r="F66" s="154">
        <f t="shared" si="2"/>
        <v>12126</v>
      </c>
      <c r="G66" s="154">
        <f t="shared" si="2"/>
        <v>470.61999999999995</v>
      </c>
      <c r="H66" s="154">
        <f t="shared" si="2"/>
        <v>8767</v>
      </c>
      <c r="I66" s="154">
        <f t="shared" si="2"/>
        <v>0</v>
      </c>
      <c r="J66" s="154">
        <f t="shared" si="2"/>
        <v>20552</v>
      </c>
      <c r="K66" s="154">
        <f t="shared" si="2"/>
        <v>359.8399999999999</v>
      </c>
      <c r="L66" s="154">
        <f t="shared" si="2"/>
        <v>92</v>
      </c>
      <c r="M66" s="154">
        <f t="shared" si="2"/>
        <v>454</v>
      </c>
      <c r="N66" s="154">
        <f t="shared" si="2"/>
        <v>5340</v>
      </c>
      <c r="O66" s="154">
        <f t="shared" si="2"/>
        <v>207.52000000000004</v>
      </c>
      <c r="P66" s="154">
        <f t="shared" si="2"/>
        <v>252</v>
      </c>
      <c r="Q66" s="154">
        <f t="shared" si="2"/>
        <v>47</v>
      </c>
      <c r="R66" s="154">
        <f t="shared" si="2"/>
        <v>5243</v>
      </c>
      <c r="S66" s="154">
        <f t="shared" si="2"/>
        <v>142.39000000000001</v>
      </c>
      <c r="T66" s="154">
        <f t="shared" si="2"/>
        <v>3219</v>
      </c>
      <c r="U66" s="154">
        <f t="shared" si="2"/>
        <v>286</v>
      </c>
      <c r="V66" s="154">
        <f t="shared" si="2"/>
        <v>4413</v>
      </c>
      <c r="W66" s="154">
        <f t="shared" si="2"/>
        <v>111.23</v>
      </c>
      <c r="X66" s="154">
        <f t="shared" si="2"/>
        <v>0</v>
      </c>
      <c r="Y66" s="154">
        <f t="shared" si="2"/>
        <v>0</v>
      </c>
      <c r="Z66" s="154">
        <f t="shared" si="2"/>
        <v>0</v>
      </c>
      <c r="AA66" s="154">
        <f t="shared" si="2"/>
        <v>0</v>
      </c>
      <c r="AB66" s="154">
        <f t="shared" si="2"/>
        <v>70835</v>
      </c>
      <c r="AC66" s="154">
        <f t="shared" si="2"/>
        <v>0</v>
      </c>
      <c r="AD66" s="154">
        <f t="shared" si="2"/>
        <v>73841</v>
      </c>
      <c r="AE66" s="154">
        <f t="shared" si="2"/>
        <v>463.65</v>
      </c>
      <c r="AF66" s="154">
        <f t="shared" si="2"/>
        <v>0</v>
      </c>
      <c r="AG66" s="154">
        <f t="shared" si="2"/>
        <v>0</v>
      </c>
      <c r="AH66" s="154">
        <f t="shared" si="2"/>
        <v>8123</v>
      </c>
      <c r="AI66" s="154">
        <f t="shared" si="2"/>
        <v>289.08</v>
      </c>
      <c r="AJ66" s="154">
        <f t="shared" si="2"/>
        <v>12139</v>
      </c>
      <c r="AK66" s="154">
        <f t="shared" si="2"/>
        <v>370</v>
      </c>
      <c r="AL66" s="154">
        <f t="shared" si="2"/>
        <v>29185</v>
      </c>
      <c r="AM66" s="154">
        <f t="shared" si="2"/>
        <v>402.28</v>
      </c>
      <c r="AN66" s="154">
        <f t="shared" si="2"/>
        <v>3724</v>
      </c>
      <c r="AO66" s="154">
        <f t="shared" si="2"/>
        <v>626</v>
      </c>
      <c r="AP66" s="154">
        <f t="shared" si="2"/>
        <v>5342</v>
      </c>
      <c r="AQ66" s="154">
        <f t="shared" si="2"/>
        <v>820.9499999999999</v>
      </c>
      <c r="AR66" s="154">
        <f t="shared" si="2"/>
        <v>195</v>
      </c>
      <c r="AS66" s="154">
        <f t="shared" si="2"/>
        <v>54</v>
      </c>
      <c r="AT66" s="154">
        <f t="shared" si="2"/>
        <v>3454</v>
      </c>
      <c r="AU66" s="154">
        <f t="shared" si="2"/>
        <v>44.279999999999994</v>
      </c>
      <c r="AV66" s="246"/>
      <c r="AW66" s="247"/>
      <c r="AX66" s="247"/>
      <c r="AY66" s="247"/>
      <c r="AZ66" s="248"/>
    </row>
    <row r="67" spans="1:52" s="1" customFormat="1" ht="16.5" thickBot="1">
      <c r="A67" s="249"/>
      <c r="B67" s="1167" t="s">
        <v>17</v>
      </c>
      <c r="C67" s="1168"/>
      <c r="D67" s="164">
        <f>SUM(D29,D44,D66)</f>
        <v>47003</v>
      </c>
      <c r="E67" s="164">
        <f aca="true" t="shared" si="3" ref="E67:AU67">SUM(E29,E44,E66)</f>
        <v>932</v>
      </c>
      <c r="F67" s="164">
        <f t="shared" si="3"/>
        <v>17762</v>
      </c>
      <c r="G67" s="164">
        <f t="shared" si="3"/>
        <v>979.6199999999999</v>
      </c>
      <c r="H67" s="164">
        <f t="shared" si="3"/>
        <v>9871</v>
      </c>
      <c r="I67" s="164">
        <f t="shared" si="3"/>
        <v>338</v>
      </c>
      <c r="J67" s="164">
        <f t="shared" si="3"/>
        <v>22160</v>
      </c>
      <c r="K67" s="164">
        <f t="shared" si="3"/>
        <v>513.5799999999999</v>
      </c>
      <c r="L67" s="164">
        <f t="shared" si="3"/>
        <v>2760</v>
      </c>
      <c r="M67" s="164">
        <f t="shared" si="3"/>
        <v>2090</v>
      </c>
      <c r="N67" s="164">
        <f t="shared" si="3"/>
        <v>9243</v>
      </c>
      <c r="O67" s="164">
        <f t="shared" si="3"/>
        <v>578.45</v>
      </c>
      <c r="P67" s="164">
        <f t="shared" si="3"/>
        <v>652</v>
      </c>
      <c r="Q67" s="164">
        <f t="shared" si="3"/>
        <v>835</v>
      </c>
      <c r="R67" s="164">
        <f t="shared" si="3"/>
        <v>7899</v>
      </c>
      <c r="S67" s="164">
        <f t="shared" si="3"/>
        <v>340.15</v>
      </c>
      <c r="T67" s="164">
        <f t="shared" si="3"/>
        <v>4995</v>
      </c>
      <c r="U67" s="164">
        <f t="shared" si="3"/>
        <v>1530</v>
      </c>
      <c r="V67" s="164">
        <f t="shared" si="3"/>
        <v>5801</v>
      </c>
      <c r="W67" s="164">
        <f t="shared" si="3"/>
        <v>165.82</v>
      </c>
      <c r="X67" s="164">
        <f t="shared" si="3"/>
        <v>2350</v>
      </c>
      <c r="Y67" s="164">
        <f t="shared" si="3"/>
        <v>1937</v>
      </c>
      <c r="Z67" s="164">
        <f t="shared" si="3"/>
        <v>1072</v>
      </c>
      <c r="AA67" s="164">
        <f t="shared" si="3"/>
        <v>33.32</v>
      </c>
      <c r="AB67" s="164">
        <f t="shared" si="3"/>
        <v>74747</v>
      </c>
      <c r="AC67" s="164">
        <f t="shared" si="3"/>
        <v>4098</v>
      </c>
      <c r="AD67" s="164">
        <f t="shared" si="3"/>
        <v>77098</v>
      </c>
      <c r="AE67" s="164">
        <f t="shared" si="3"/>
        <v>710.43</v>
      </c>
      <c r="AF67" s="164">
        <f t="shared" si="3"/>
        <v>8146</v>
      </c>
      <c r="AG67" s="164">
        <f t="shared" si="3"/>
        <v>4518</v>
      </c>
      <c r="AH67" s="164">
        <f t="shared" si="3"/>
        <v>16444</v>
      </c>
      <c r="AI67" s="164">
        <f t="shared" si="3"/>
        <v>655.34</v>
      </c>
      <c r="AJ67" s="164">
        <f t="shared" si="3"/>
        <v>12931</v>
      </c>
      <c r="AK67" s="164">
        <f t="shared" si="3"/>
        <v>738</v>
      </c>
      <c r="AL67" s="164">
        <f t="shared" si="3"/>
        <v>33451</v>
      </c>
      <c r="AM67" s="164">
        <f t="shared" si="3"/>
        <v>529.4399999999999</v>
      </c>
      <c r="AN67" s="164">
        <f t="shared" si="3"/>
        <v>4168</v>
      </c>
      <c r="AO67" s="164">
        <f t="shared" si="3"/>
        <v>642</v>
      </c>
      <c r="AP67" s="164">
        <f t="shared" si="3"/>
        <v>13492</v>
      </c>
      <c r="AQ67" s="164">
        <f t="shared" si="3"/>
        <v>1530.19</v>
      </c>
      <c r="AR67" s="164">
        <f t="shared" si="3"/>
        <v>195</v>
      </c>
      <c r="AS67" s="164">
        <f t="shared" si="3"/>
        <v>54</v>
      </c>
      <c r="AT67" s="164">
        <f t="shared" si="3"/>
        <v>4754</v>
      </c>
      <c r="AU67" s="164">
        <f t="shared" si="3"/>
        <v>57.91</v>
      </c>
      <c r="AV67" s="164"/>
      <c r="AW67" s="164"/>
      <c r="AX67" s="164"/>
      <c r="AY67" s="164"/>
      <c r="AZ67" s="250"/>
    </row>
    <row r="68" ht="15.75">
      <c r="B68" s="190"/>
    </row>
  </sheetData>
  <sheetProtection/>
  <mergeCells count="80">
    <mergeCell ref="A33:A35"/>
    <mergeCell ref="X3:AA3"/>
    <mergeCell ref="X4:Y4"/>
    <mergeCell ref="Z4:AA4"/>
    <mergeCell ref="AZ57:AZ60"/>
    <mergeCell ref="AX4:AX5"/>
    <mergeCell ref="AY57:AY60"/>
    <mergeCell ref="AY40:AY43"/>
    <mergeCell ref="A3:C3"/>
    <mergeCell ref="C4:C5"/>
    <mergeCell ref="A2:AZ2"/>
    <mergeCell ref="AF3:AI3"/>
    <mergeCell ref="B4:B5"/>
    <mergeCell ref="A52:A56"/>
    <mergeCell ref="B51:B56"/>
    <mergeCell ref="AR3:AU3"/>
    <mergeCell ref="C11:C13"/>
    <mergeCell ref="D3:G3"/>
    <mergeCell ref="D4:E4"/>
    <mergeCell ref="F4:G4"/>
    <mergeCell ref="AW61:AW62"/>
    <mergeCell ref="AV4:AV5"/>
    <mergeCell ref="AW4:AW5"/>
    <mergeCell ref="AW57:AW60"/>
    <mergeCell ref="AJ4:AK4"/>
    <mergeCell ref="AL4:AM4"/>
    <mergeCell ref="AR4:AS4"/>
    <mergeCell ref="AT4:AU4"/>
    <mergeCell ref="A1:AZ1"/>
    <mergeCell ref="A4:A5"/>
    <mergeCell ref="AY4:AY5"/>
    <mergeCell ref="F60:F61"/>
    <mergeCell ref="G60:G61"/>
    <mergeCell ref="B67:C67"/>
    <mergeCell ref="P3:S3"/>
    <mergeCell ref="R57:R63"/>
    <mergeCell ref="S57:S63"/>
    <mergeCell ref="B66:C66"/>
    <mergeCell ref="B61:B62"/>
    <mergeCell ref="AG26:AG27"/>
    <mergeCell ref="B26:B27"/>
    <mergeCell ref="C6:C10"/>
    <mergeCell ref="B29:C29"/>
    <mergeCell ref="B44:C44"/>
    <mergeCell ref="D52:D55"/>
    <mergeCell ref="E52:E55"/>
    <mergeCell ref="B57:B60"/>
    <mergeCell ref="AH4:AI4"/>
    <mergeCell ref="H4:I4"/>
    <mergeCell ref="J4:K4"/>
    <mergeCell ref="L3:O3"/>
    <mergeCell ref="C14:C17"/>
    <mergeCell ref="P4:Q4"/>
    <mergeCell ref="AN3:AQ3"/>
    <mergeCell ref="AN4:AO4"/>
    <mergeCell ref="AP4:AQ4"/>
    <mergeCell ref="F52:F55"/>
    <mergeCell ref="G52:G55"/>
    <mergeCell ref="AV3:AZ3"/>
    <mergeCell ref="AZ4:AZ5"/>
    <mergeCell ref="H3:K3"/>
    <mergeCell ref="AI61:AI62"/>
    <mergeCell ref="T3:W3"/>
    <mergeCell ref="V4:W4"/>
    <mergeCell ref="R4:S4"/>
    <mergeCell ref="A57:A63"/>
    <mergeCell ref="T4:U4"/>
    <mergeCell ref="L4:M4"/>
    <mergeCell ref="N4:O4"/>
    <mergeCell ref="AI57:AI60"/>
    <mergeCell ref="AX57:AX60"/>
    <mergeCell ref="AN57:AN63"/>
    <mergeCell ref="AJ3:AM3"/>
    <mergeCell ref="AB3:AE3"/>
    <mergeCell ref="AB4:AC4"/>
    <mergeCell ref="AD4:AE4"/>
    <mergeCell ref="AF4:AG4"/>
    <mergeCell ref="AO57:AO63"/>
    <mergeCell ref="AP57:AP63"/>
    <mergeCell ref="AQ57:AQ63"/>
  </mergeCells>
  <printOptions/>
  <pageMargins left="0.17" right="0.07" top="0.31496062992125984" bottom="0.01" header="0.31496062992125984" footer="0.08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55"/>
  <sheetViews>
    <sheetView zoomScale="70" zoomScaleNormal="70" zoomScalePageLayoutView="0" workbookViewId="0" topLeftCell="A1">
      <pane xSplit="3" ySplit="5" topLeftCell="D1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36.8515625" defaultRowHeight="15"/>
  <cols>
    <col min="1" max="1" width="15.28125" style="671" customWidth="1"/>
    <col min="2" max="2" width="25.421875" style="293" customWidth="1"/>
    <col min="3" max="3" width="21.7109375" style="12" customWidth="1"/>
    <col min="4" max="4" width="9.00390625" style="12" customWidth="1"/>
    <col min="5" max="5" width="6.421875" style="12" customWidth="1"/>
    <col min="6" max="6" width="10.140625" style="12" customWidth="1"/>
    <col min="7" max="7" width="6.421875" style="12" customWidth="1"/>
    <col min="8" max="11" width="6.7109375" style="27" customWidth="1"/>
    <col min="12" max="13" width="8.140625" style="27" customWidth="1"/>
    <col min="14" max="14" width="7.8515625" style="27" customWidth="1"/>
    <col min="15" max="15" width="6.7109375" style="27" customWidth="1"/>
    <col min="16" max="16" width="8.00390625" style="27" customWidth="1"/>
    <col min="17" max="19" width="6.8515625" style="27" customWidth="1"/>
    <col min="20" max="20" width="8.7109375" style="27" customWidth="1"/>
    <col min="21" max="21" width="7.57421875" style="27" customWidth="1"/>
    <col min="22" max="22" width="8.7109375" style="27" customWidth="1"/>
    <col min="23" max="24" width="7.57421875" style="27" customWidth="1"/>
    <col min="25" max="25" width="8.421875" style="27" customWidth="1"/>
    <col min="26" max="26" width="6.7109375" style="27" customWidth="1"/>
    <col min="27" max="43" width="8.421875" style="27" customWidth="1"/>
    <col min="44" max="44" width="8.28125" style="672" customWidth="1"/>
    <col min="45" max="45" width="8.7109375" style="672" customWidth="1"/>
    <col min="46" max="46" width="8.140625" style="672" customWidth="1"/>
    <col min="47" max="47" width="10.28125" style="672" customWidth="1"/>
    <col min="48" max="48" width="10.57421875" style="12" customWidth="1"/>
    <col min="49" max="49" width="24.140625" style="12" customWidth="1"/>
    <col min="50" max="50" width="23.7109375" style="12" customWidth="1"/>
    <col min="51" max="51" width="12.7109375" style="12" customWidth="1"/>
    <col min="52" max="52" width="40.140625" style="12" customWidth="1"/>
    <col min="53" max="16384" width="36.8515625" style="672" customWidth="1"/>
  </cols>
  <sheetData>
    <row r="1" spans="1:52" s="13" customFormat="1" ht="23.25" customHeight="1" thickBot="1">
      <c r="A1" s="1181" t="s">
        <v>42</v>
      </c>
      <c r="B1" s="1182"/>
      <c r="C1" s="1182"/>
      <c r="D1" s="1182"/>
      <c r="E1" s="1182"/>
      <c r="F1" s="1182"/>
      <c r="G1" s="1182"/>
      <c r="H1" s="1182"/>
      <c r="I1" s="1182"/>
      <c r="J1" s="1182"/>
      <c r="K1" s="1182"/>
      <c r="L1" s="1182"/>
      <c r="M1" s="1182"/>
      <c r="N1" s="1182"/>
      <c r="O1" s="1182"/>
      <c r="P1" s="1182"/>
      <c r="Q1" s="1182"/>
      <c r="R1" s="1182"/>
      <c r="S1" s="1182"/>
      <c r="T1" s="1182"/>
      <c r="U1" s="1182"/>
      <c r="V1" s="1182"/>
      <c r="W1" s="1182"/>
      <c r="X1" s="1182"/>
      <c r="Y1" s="1182"/>
      <c r="Z1" s="1182"/>
      <c r="AA1" s="1182"/>
      <c r="AB1" s="1182"/>
      <c r="AC1" s="1182"/>
      <c r="AD1" s="1182"/>
      <c r="AE1" s="1182"/>
      <c r="AF1" s="1182"/>
      <c r="AG1" s="1182"/>
      <c r="AH1" s="1182"/>
      <c r="AI1" s="1182"/>
      <c r="AJ1" s="1182"/>
      <c r="AK1" s="1182"/>
      <c r="AL1" s="1182"/>
      <c r="AM1" s="1182"/>
      <c r="AN1" s="1182"/>
      <c r="AO1" s="1182"/>
      <c r="AP1" s="1182"/>
      <c r="AQ1" s="1182"/>
      <c r="AR1" s="1182"/>
      <c r="AS1" s="1182"/>
      <c r="AT1" s="1182"/>
      <c r="AU1" s="1182"/>
      <c r="AV1" s="1182"/>
      <c r="AW1" s="1182"/>
      <c r="AX1" s="1182"/>
      <c r="AY1" s="1182"/>
      <c r="AZ1" s="1183"/>
    </row>
    <row r="2" spans="1:52" s="18" customFormat="1" ht="28.5" customHeight="1" thickBot="1">
      <c r="A2" s="1112" t="s">
        <v>550</v>
      </c>
      <c r="B2" s="1113"/>
      <c r="C2" s="1113"/>
      <c r="D2" s="1113"/>
      <c r="E2" s="1113"/>
      <c r="F2" s="1113"/>
      <c r="G2" s="1113"/>
      <c r="H2" s="1113"/>
      <c r="I2" s="1113"/>
      <c r="J2" s="1113"/>
      <c r="K2" s="1113"/>
      <c r="L2" s="1113"/>
      <c r="M2" s="1113"/>
      <c r="N2" s="1113"/>
      <c r="O2" s="1113"/>
      <c r="P2" s="1113"/>
      <c r="Q2" s="1113"/>
      <c r="R2" s="1113"/>
      <c r="S2" s="1113"/>
      <c r="T2" s="1113"/>
      <c r="U2" s="1113"/>
      <c r="V2" s="1113"/>
      <c r="W2" s="1113"/>
      <c r="X2" s="1113"/>
      <c r="Y2" s="1113"/>
      <c r="Z2" s="1113"/>
      <c r="AA2" s="1113"/>
      <c r="AB2" s="1113"/>
      <c r="AC2" s="1113"/>
      <c r="AD2" s="1113"/>
      <c r="AE2" s="1113"/>
      <c r="AF2" s="1113"/>
      <c r="AG2" s="1113"/>
      <c r="AH2" s="1113"/>
      <c r="AI2" s="1113"/>
      <c r="AJ2" s="1113"/>
      <c r="AK2" s="1113"/>
      <c r="AL2" s="1113"/>
      <c r="AM2" s="1113"/>
      <c r="AN2" s="1113"/>
      <c r="AO2" s="1113"/>
      <c r="AP2" s="1113"/>
      <c r="AQ2" s="1113"/>
      <c r="AR2" s="1113"/>
      <c r="AS2" s="1113"/>
      <c r="AT2" s="1113"/>
      <c r="AU2" s="1113"/>
      <c r="AV2" s="1113"/>
      <c r="AW2" s="1113"/>
      <c r="AX2" s="1113"/>
      <c r="AY2" s="1113"/>
      <c r="AZ2" s="1169"/>
    </row>
    <row r="3" spans="1:52" s="18" customFormat="1" ht="21" customHeight="1" thickBot="1">
      <c r="A3" s="1180"/>
      <c r="B3" s="1115"/>
      <c r="C3" s="1115"/>
      <c r="D3" s="1114" t="s">
        <v>988</v>
      </c>
      <c r="E3" s="1115"/>
      <c r="F3" s="1115"/>
      <c r="G3" s="1116"/>
      <c r="H3" s="1114" t="s">
        <v>989</v>
      </c>
      <c r="I3" s="1115"/>
      <c r="J3" s="1115"/>
      <c r="K3" s="1116"/>
      <c r="L3" s="1114" t="s">
        <v>990</v>
      </c>
      <c r="M3" s="1115"/>
      <c r="N3" s="1115"/>
      <c r="O3" s="1116"/>
      <c r="P3" s="1114" t="s">
        <v>991</v>
      </c>
      <c r="Q3" s="1115"/>
      <c r="R3" s="1115"/>
      <c r="S3" s="1116"/>
      <c r="T3" s="1114" t="s">
        <v>992</v>
      </c>
      <c r="U3" s="1115"/>
      <c r="V3" s="1115"/>
      <c r="W3" s="1116"/>
      <c r="X3" s="1114" t="s">
        <v>993</v>
      </c>
      <c r="Y3" s="1115"/>
      <c r="Z3" s="1115"/>
      <c r="AA3" s="1116"/>
      <c r="AB3" s="1114" t="s">
        <v>994</v>
      </c>
      <c r="AC3" s="1115"/>
      <c r="AD3" s="1115"/>
      <c r="AE3" s="1116"/>
      <c r="AF3" s="1114" t="s">
        <v>995</v>
      </c>
      <c r="AG3" s="1115"/>
      <c r="AH3" s="1115"/>
      <c r="AI3" s="1116"/>
      <c r="AJ3" s="1114" t="s">
        <v>996</v>
      </c>
      <c r="AK3" s="1115"/>
      <c r="AL3" s="1115"/>
      <c r="AM3" s="1116"/>
      <c r="AN3" s="1114" t="s">
        <v>997</v>
      </c>
      <c r="AO3" s="1115"/>
      <c r="AP3" s="1115"/>
      <c r="AQ3" s="1116"/>
      <c r="AR3" s="1114" t="s">
        <v>998</v>
      </c>
      <c r="AS3" s="1115"/>
      <c r="AT3" s="1115"/>
      <c r="AU3" s="1116"/>
      <c r="AV3" s="1114"/>
      <c r="AW3" s="1115"/>
      <c r="AX3" s="1115"/>
      <c r="AY3" s="1116"/>
      <c r="AZ3" s="637"/>
    </row>
    <row r="4" spans="1:52" s="293" customFormat="1" ht="21" customHeight="1">
      <c r="A4" s="1165" t="s">
        <v>116</v>
      </c>
      <c r="B4" s="1051" t="s">
        <v>43</v>
      </c>
      <c r="C4" s="1051" t="s">
        <v>20</v>
      </c>
      <c r="D4" s="1117" t="s">
        <v>112</v>
      </c>
      <c r="E4" s="1117"/>
      <c r="F4" s="1117" t="s">
        <v>113</v>
      </c>
      <c r="G4" s="1117"/>
      <c r="H4" s="1117" t="s">
        <v>112</v>
      </c>
      <c r="I4" s="1117"/>
      <c r="J4" s="1117" t="s">
        <v>113</v>
      </c>
      <c r="K4" s="1117"/>
      <c r="L4" s="1117" t="s">
        <v>112</v>
      </c>
      <c r="M4" s="1117"/>
      <c r="N4" s="1117" t="s">
        <v>113</v>
      </c>
      <c r="O4" s="1117"/>
      <c r="P4" s="1117" t="s">
        <v>112</v>
      </c>
      <c r="Q4" s="1117"/>
      <c r="R4" s="1117" t="s">
        <v>113</v>
      </c>
      <c r="S4" s="1117"/>
      <c r="T4" s="1117" t="s">
        <v>112</v>
      </c>
      <c r="U4" s="1117"/>
      <c r="V4" s="1117" t="s">
        <v>113</v>
      </c>
      <c r="W4" s="1117"/>
      <c r="X4" s="1117" t="s">
        <v>112</v>
      </c>
      <c r="Y4" s="1117"/>
      <c r="Z4" s="1117" t="s">
        <v>113</v>
      </c>
      <c r="AA4" s="1117"/>
      <c r="AB4" s="1117" t="s">
        <v>112</v>
      </c>
      <c r="AC4" s="1117"/>
      <c r="AD4" s="1117" t="s">
        <v>113</v>
      </c>
      <c r="AE4" s="1117"/>
      <c r="AF4" s="1117" t="s">
        <v>112</v>
      </c>
      <c r="AG4" s="1117"/>
      <c r="AH4" s="1117" t="s">
        <v>113</v>
      </c>
      <c r="AI4" s="1117"/>
      <c r="AJ4" s="1117" t="s">
        <v>112</v>
      </c>
      <c r="AK4" s="1117"/>
      <c r="AL4" s="1117" t="s">
        <v>113</v>
      </c>
      <c r="AM4" s="1117"/>
      <c r="AN4" s="1117" t="s">
        <v>112</v>
      </c>
      <c r="AO4" s="1117"/>
      <c r="AP4" s="1117" t="s">
        <v>113</v>
      </c>
      <c r="AQ4" s="1117"/>
      <c r="AR4" s="1117" t="s">
        <v>112</v>
      </c>
      <c r="AS4" s="1117"/>
      <c r="AT4" s="1117" t="s">
        <v>113</v>
      </c>
      <c r="AU4" s="1117"/>
      <c r="AV4" s="1117" t="s">
        <v>4</v>
      </c>
      <c r="AW4" s="1117" t="s">
        <v>855</v>
      </c>
      <c r="AX4" s="1117" t="s">
        <v>5</v>
      </c>
      <c r="AY4" s="1119" t="s">
        <v>83</v>
      </c>
      <c r="AZ4" s="1158" t="s">
        <v>84</v>
      </c>
    </row>
    <row r="5" spans="1:52" s="293" customFormat="1" ht="89.25" customHeight="1" thickBot="1">
      <c r="A5" s="1166"/>
      <c r="B5" s="1052"/>
      <c r="C5" s="1052"/>
      <c r="D5" s="25" t="s">
        <v>6</v>
      </c>
      <c r="E5" s="25" t="s">
        <v>7</v>
      </c>
      <c r="F5" s="25" t="s">
        <v>6</v>
      </c>
      <c r="G5" s="25" t="s">
        <v>96</v>
      </c>
      <c r="H5" s="25" t="s">
        <v>6</v>
      </c>
      <c r="I5" s="25" t="s">
        <v>7</v>
      </c>
      <c r="J5" s="25" t="s">
        <v>6</v>
      </c>
      <c r="K5" s="25" t="s">
        <v>96</v>
      </c>
      <c r="L5" s="25" t="s">
        <v>6</v>
      </c>
      <c r="M5" s="25" t="s">
        <v>7</v>
      </c>
      <c r="N5" s="25" t="s">
        <v>6</v>
      </c>
      <c r="O5" s="25" t="s">
        <v>96</v>
      </c>
      <c r="P5" s="25" t="s">
        <v>6</v>
      </c>
      <c r="Q5" s="25" t="s">
        <v>7</v>
      </c>
      <c r="R5" s="25" t="s">
        <v>6</v>
      </c>
      <c r="S5" s="25" t="s">
        <v>96</v>
      </c>
      <c r="T5" s="25" t="s">
        <v>6</v>
      </c>
      <c r="U5" s="25" t="s">
        <v>7</v>
      </c>
      <c r="V5" s="25" t="s">
        <v>6</v>
      </c>
      <c r="W5" s="25" t="s">
        <v>96</v>
      </c>
      <c r="X5" s="25" t="s">
        <v>6</v>
      </c>
      <c r="Y5" s="25" t="s">
        <v>7</v>
      </c>
      <c r="Z5" s="25" t="s">
        <v>6</v>
      </c>
      <c r="AA5" s="25" t="s">
        <v>96</v>
      </c>
      <c r="AB5" s="25" t="s">
        <v>6</v>
      </c>
      <c r="AC5" s="25" t="s">
        <v>7</v>
      </c>
      <c r="AD5" s="25" t="s">
        <v>6</v>
      </c>
      <c r="AE5" s="25" t="s">
        <v>96</v>
      </c>
      <c r="AF5" s="25" t="s">
        <v>6</v>
      </c>
      <c r="AG5" s="25" t="s">
        <v>7</v>
      </c>
      <c r="AH5" s="25" t="s">
        <v>6</v>
      </c>
      <c r="AI5" s="25" t="s">
        <v>96</v>
      </c>
      <c r="AJ5" s="25" t="s">
        <v>6</v>
      </c>
      <c r="AK5" s="25" t="s">
        <v>7</v>
      </c>
      <c r="AL5" s="25" t="s">
        <v>6</v>
      </c>
      <c r="AM5" s="25" t="s">
        <v>96</v>
      </c>
      <c r="AN5" s="25" t="s">
        <v>6</v>
      </c>
      <c r="AO5" s="25" t="s">
        <v>7</v>
      </c>
      <c r="AP5" s="25" t="s">
        <v>6</v>
      </c>
      <c r="AQ5" s="25" t="s">
        <v>96</v>
      </c>
      <c r="AR5" s="25" t="s">
        <v>6</v>
      </c>
      <c r="AS5" s="25" t="s">
        <v>7</v>
      </c>
      <c r="AT5" s="25" t="s">
        <v>6</v>
      </c>
      <c r="AU5" s="25" t="s">
        <v>96</v>
      </c>
      <c r="AV5" s="1118"/>
      <c r="AW5" s="1118"/>
      <c r="AX5" s="1118"/>
      <c r="AY5" s="1120"/>
      <c r="AZ5" s="1159"/>
    </row>
    <row r="6" spans="1:52" s="638" customFormat="1" ht="30">
      <c r="A6" s="182" t="s">
        <v>164</v>
      </c>
      <c r="B6" s="151" t="s">
        <v>44</v>
      </c>
      <c r="C6" s="1062"/>
      <c r="D6" s="145">
        <v>64</v>
      </c>
      <c r="E6" s="145">
        <v>0</v>
      </c>
      <c r="F6" s="145">
        <v>64</v>
      </c>
      <c r="G6" s="145">
        <v>10.56</v>
      </c>
      <c r="H6" s="152"/>
      <c r="I6" s="152"/>
      <c r="J6" s="152"/>
      <c r="K6" s="152"/>
      <c r="L6" s="2">
        <v>5</v>
      </c>
      <c r="M6" s="2">
        <v>2</v>
      </c>
      <c r="N6" s="2">
        <v>60</v>
      </c>
      <c r="O6" s="2">
        <v>6</v>
      </c>
      <c r="P6" s="2">
        <v>64</v>
      </c>
      <c r="Q6" s="2">
        <v>0</v>
      </c>
      <c r="R6" s="2">
        <f>5*16</f>
        <v>80</v>
      </c>
      <c r="S6" s="2">
        <v>4.76</v>
      </c>
      <c r="T6" s="2">
        <v>300</v>
      </c>
      <c r="U6" s="2">
        <v>239</v>
      </c>
      <c r="V6" s="2">
        <v>400</v>
      </c>
      <c r="W6" s="2">
        <v>59.4</v>
      </c>
      <c r="X6" s="152"/>
      <c r="Y6" s="152"/>
      <c r="Z6" s="152"/>
      <c r="AA6" s="152"/>
      <c r="AB6" s="2">
        <v>200</v>
      </c>
      <c r="AC6" s="145">
        <v>205</v>
      </c>
      <c r="AD6" s="2">
        <f>'[1]Child Health'!I13*'[1]Child Health'!J13</f>
        <v>280</v>
      </c>
      <c r="AE6" s="2">
        <v>16.56</v>
      </c>
      <c r="AF6" s="230">
        <f>20*16</f>
        <v>320</v>
      </c>
      <c r="AG6" s="230">
        <v>160</v>
      </c>
      <c r="AH6" s="2">
        <v>256</v>
      </c>
      <c r="AI6" s="2">
        <v>35.1</v>
      </c>
      <c r="AJ6" s="2"/>
      <c r="AK6" s="2"/>
      <c r="AL6" s="2"/>
      <c r="AM6" s="2"/>
      <c r="AN6" s="145">
        <v>72</v>
      </c>
      <c r="AO6" s="145">
        <v>145</v>
      </c>
      <c r="AP6" s="145">
        <v>64</v>
      </c>
      <c r="AQ6" s="145">
        <v>11.2</v>
      </c>
      <c r="AR6" s="145">
        <v>272</v>
      </c>
      <c r="AS6" s="145">
        <v>0</v>
      </c>
      <c r="AT6" s="145">
        <v>272</v>
      </c>
      <c r="AU6" s="145">
        <v>13.35</v>
      </c>
      <c r="AV6" s="145" t="s">
        <v>45</v>
      </c>
      <c r="AW6" s="145">
        <v>16</v>
      </c>
      <c r="AX6" s="145" t="s">
        <v>163</v>
      </c>
      <c r="AY6" s="145" t="s">
        <v>306</v>
      </c>
      <c r="AZ6" s="116" t="s">
        <v>282</v>
      </c>
    </row>
    <row r="7" spans="1:52" s="293" customFormat="1" ht="15.75">
      <c r="A7" s="182" t="s">
        <v>169</v>
      </c>
      <c r="B7" s="152" t="s">
        <v>51</v>
      </c>
      <c r="C7" s="1062"/>
      <c r="D7" s="145">
        <v>672</v>
      </c>
      <c r="E7" s="145">
        <v>126</v>
      </c>
      <c r="F7" s="145">
        <v>480</v>
      </c>
      <c r="G7" s="145">
        <v>16.2</v>
      </c>
      <c r="H7" s="2">
        <v>30</v>
      </c>
      <c r="I7" s="2">
        <v>0</v>
      </c>
      <c r="J7" s="2">
        <v>0</v>
      </c>
      <c r="K7" s="9">
        <v>0</v>
      </c>
      <c r="L7" s="2">
        <v>6</v>
      </c>
      <c r="M7" s="2">
        <v>6</v>
      </c>
      <c r="N7" s="2">
        <v>125</v>
      </c>
      <c r="O7" s="2">
        <v>1.75</v>
      </c>
      <c r="P7" s="2">
        <v>608</v>
      </c>
      <c r="Q7" s="2">
        <v>501</v>
      </c>
      <c r="R7" s="2">
        <f>24*32</f>
        <v>768</v>
      </c>
      <c r="S7" s="2">
        <v>11.28</v>
      </c>
      <c r="T7" s="2">
        <v>600</v>
      </c>
      <c r="U7" s="2">
        <v>605</v>
      </c>
      <c r="V7" s="2">
        <v>600</v>
      </c>
      <c r="W7" s="2">
        <v>39.83</v>
      </c>
      <c r="X7" s="152"/>
      <c r="Y7" s="152"/>
      <c r="Z7" s="152"/>
      <c r="AA7" s="152"/>
      <c r="AB7" s="2">
        <v>480</v>
      </c>
      <c r="AC7" s="145">
        <v>362</v>
      </c>
      <c r="AD7" s="2">
        <v>1120</v>
      </c>
      <c r="AE7" s="2">
        <v>20.65</v>
      </c>
      <c r="AF7" s="230">
        <f>12*32</f>
        <v>384</v>
      </c>
      <c r="AG7" s="230">
        <v>193</v>
      </c>
      <c r="AH7" s="2">
        <v>384</v>
      </c>
      <c r="AI7" s="2">
        <v>14.9</v>
      </c>
      <c r="AJ7" s="2"/>
      <c r="AK7" s="2"/>
      <c r="AL7" s="2"/>
      <c r="AM7" s="2"/>
      <c r="AN7" s="145">
        <v>46</v>
      </c>
      <c r="AO7" s="145"/>
      <c r="AP7" s="145">
        <v>768</v>
      </c>
      <c r="AQ7" s="145">
        <v>25.92</v>
      </c>
      <c r="AR7" s="145">
        <v>2304</v>
      </c>
      <c r="AS7" s="145">
        <v>0</v>
      </c>
      <c r="AT7" s="145">
        <v>320</v>
      </c>
      <c r="AU7" s="145">
        <v>7.14</v>
      </c>
      <c r="AV7" s="145" t="s">
        <v>168</v>
      </c>
      <c r="AW7" s="145">
        <v>30</v>
      </c>
      <c r="AX7" s="145" t="s">
        <v>167</v>
      </c>
      <c r="AY7" s="145" t="s">
        <v>306</v>
      </c>
      <c r="AZ7" s="117" t="s">
        <v>283</v>
      </c>
    </row>
    <row r="8" spans="1:52" s="293" customFormat="1" ht="31.5">
      <c r="A8" s="182" t="s">
        <v>166</v>
      </c>
      <c r="B8" s="152" t="s">
        <v>151</v>
      </c>
      <c r="C8" s="1062"/>
      <c r="D8" s="2"/>
      <c r="E8" s="2">
        <v>38</v>
      </c>
      <c r="F8" s="2">
        <v>75</v>
      </c>
      <c r="G8" s="2">
        <v>4.05</v>
      </c>
      <c r="H8" s="639"/>
      <c r="I8" s="639"/>
      <c r="J8" s="639"/>
      <c r="K8" s="639"/>
      <c r="L8" s="2">
        <v>200</v>
      </c>
      <c r="M8" s="2">
        <v>1179</v>
      </c>
      <c r="N8" s="2">
        <v>125</v>
      </c>
      <c r="O8" s="2">
        <v>6</v>
      </c>
      <c r="P8" s="2"/>
      <c r="Q8" s="2"/>
      <c r="R8" s="2">
        <v>1</v>
      </c>
      <c r="S8" s="2">
        <v>1.06</v>
      </c>
      <c r="T8" s="2"/>
      <c r="U8" s="2"/>
      <c r="V8" s="2"/>
      <c r="W8" s="2"/>
      <c r="X8" s="152"/>
      <c r="Y8" s="152"/>
      <c r="Z8" s="152"/>
      <c r="AA8" s="152"/>
      <c r="AB8" s="2">
        <v>600</v>
      </c>
      <c r="AC8" s="145">
        <v>40</v>
      </c>
      <c r="AD8" s="2">
        <v>600</v>
      </c>
      <c r="AE8" s="2">
        <v>10.71</v>
      </c>
      <c r="AF8" s="152"/>
      <c r="AG8" s="152"/>
      <c r="AH8" s="152"/>
      <c r="AI8" s="152"/>
      <c r="AJ8" s="152"/>
      <c r="AK8" s="152"/>
      <c r="AL8" s="152"/>
      <c r="AM8" s="152"/>
      <c r="AN8" s="2"/>
      <c r="AO8" s="2"/>
      <c r="AP8" s="2">
        <v>200</v>
      </c>
      <c r="AQ8" s="2">
        <v>24.73</v>
      </c>
      <c r="AR8" s="145">
        <v>120</v>
      </c>
      <c r="AS8" s="145">
        <v>0</v>
      </c>
      <c r="AT8" s="145">
        <v>120</v>
      </c>
      <c r="AU8" s="145">
        <v>4</v>
      </c>
      <c r="AV8" s="145" t="s">
        <v>12</v>
      </c>
      <c r="AW8" s="145">
        <v>25</v>
      </c>
      <c r="AX8" s="145" t="s">
        <v>284</v>
      </c>
      <c r="AY8" s="145" t="s">
        <v>306</v>
      </c>
      <c r="AZ8" s="117" t="s">
        <v>285</v>
      </c>
    </row>
    <row r="9" spans="1:52" s="293" customFormat="1" ht="45">
      <c r="A9" s="182" t="s">
        <v>787</v>
      </c>
      <c r="B9" s="152" t="s">
        <v>788</v>
      </c>
      <c r="C9" s="1031" t="s">
        <v>675</v>
      </c>
      <c r="D9" s="146"/>
      <c r="E9" s="146"/>
      <c r="F9" s="146"/>
      <c r="G9" s="146"/>
      <c r="H9" s="146"/>
      <c r="I9" s="146"/>
      <c r="J9" s="146"/>
      <c r="K9" s="146"/>
      <c r="L9" s="2">
        <v>20</v>
      </c>
      <c r="M9" s="2">
        <v>17</v>
      </c>
      <c r="N9" s="2">
        <v>20</v>
      </c>
      <c r="O9" s="2">
        <v>2</v>
      </c>
      <c r="P9" s="2">
        <v>16</v>
      </c>
      <c r="Q9" s="2">
        <v>11</v>
      </c>
      <c r="R9" s="2">
        <f>1*16</f>
        <v>16</v>
      </c>
      <c r="S9" s="2">
        <v>1.42</v>
      </c>
      <c r="T9" s="2"/>
      <c r="U9" s="2"/>
      <c r="V9" s="2"/>
      <c r="W9" s="2"/>
      <c r="X9" s="640"/>
      <c r="Y9" s="640"/>
      <c r="Z9" s="640"/>
      <c r="AA9" s="640"/>
      <c r="AB9" s="2">
        <v>40</v>
      </c>
      <c r="AC9" s="145">
        <v>6</v>
      </c>
      <c r="AD9" s="2">
        <v>20</v>
      </c>
      <c r="AE9" s="145">
        <v>1.28</v>
      </c>
      <c r="AF9" s="640">
        <f>1*16</f>
        <v>16</v>
      </c>
      <c r="AG9" s="640">
        <v>14</v>
      </c>
      <c r="AH9" s="640">
        <v>16</v>
      </c>
      <c r="AI9" s="640">
        <v>3.45</v>
      </c>
      <c r="AJ9" s="640"/>
      <c r="AK9" s="640"/>
      <c r="AL9" s="640"/>
      <c r="AM9" s="640"/>
      <c r="AN9" s="641"/>
      <c r="AO9" s="641"/>
      <c r="AP9" s="91">
        <v>48</v>
      </c>
      <c r="AQ9" s="91">
        <v>3.8</v>
      </c>
      <c r="AR9" s="55"/>
      <c r="AS9" s="55"/>
      <c r="AT9" s="55"/>
      <c r="AU9" s="55"/>
      <c r="AV9" s="91" t="s">
        <v>9</v>
      </c>
      <c r="AW9" s="145">
        <v>30</v>
      </c>
      <c r="AX9" s="145" t="s">
        <v>791</v>
      </c>
      <c r="AY9" s="145" t="s">
        <v>306</v>
      </c>
      <c r="AZ9" s="116" t="s">
        <v>610</v>
      </c>
    </row>
    <row r="10" spans="1:52" s="293" customFormat="1" ht="15.75">
      <c r="A10" s="182" t="s">
        <v>789</v>
      </c>
      <c r="B10" s="152" t="s">
        <v>790</v>
      </c>
      <c r="C10" s="1032"/>
      <c r="D10" s="146"/>
      <c r="E10" s="146"/>
      <c r="F10" s="146"/>
      <c r="G10" s="146"/>
      <c r="H10" s="146"/>
      <c r="I10" s="146"/>
      <c r="J10" s="146"/>
      <c r="K10" s="14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640"/>
      <c r="Y10" s="640"/>
      <c r="Z10" s="640"/>
      <c r="AA10" s="640"/>
      <c r="AB10" s="2">
        <v>1577</v>
      </c>
      <c r="AC10" s="145">
        <v>0</v>
      </c>
      <c r="AD10" s="2">
        <v>1577</v>
      </c>
      <c r="AE10" s="2">
        <v>56.93</v>
      </c>
      <c r="AF10" s="640"/>
      <c r="AG10" s="640"/>
      <c r="AH10" s="640"/>
      <c r="AI10" s="640"/>
      <c r="AJ10" s="640"/>
      <c r="AK10" s="640"/>
      <c r="AL10" s="640"/>
      <c r="AM10" s="640"/>
      <c r="AN10" s="640"/>
      <c r="AO10" s="640"/>
      <c r="AP10" s="640"/>
      <c r="AQ10" s="640"/>
      <c r="AR10" s="55"/>
      <c r="AS10" s="55"/>
      <c r="AT10" s="55"/>
      <c r="AU10" s="55"/>
      <c r="AV10" s="91" t="s">
        <v>23</v>
      </c>
      <c r="AW10" s="145">
        <v>35</v>
      </c>
      <c r="AX10" s="145" t="s">
        <v>792</v>
      </c>
      <c r="AY10" s="145" t="s">
        <v>306</v>
      </c>
      <c r="AZ10" s="116" t="s">
        <v>610</v>
      </c>
    </row>
    <row r="11" spans="1:52" s="293" customFormat="1" ht="45">
      <c r="A11" s="182" t="s">
        <v>703</v>
      </c>
      <c r="B11" s="152" t="s">
        <v>51</v>
      </c>
      <c r="C11" s="1032"/>
      <c r="D11" s="146"/>
      <c r="E11" s="146"/>
      <c r="F11" s="146"/>
      <c r="G11" s="146"/>
      <c r="H11" s="146"/>
      <c r="I11" s="146"/>
      <c r="J11" s="146"/>
      <c r="K11" s="146"/>
      <c r="L11" s="2">
        <v>25</v>
      </c>
      <c r="M11" s="2">
        <v>32</v>
      </c>
      <c r="N11" s="2">
        <v>25</v>
      </c>
      <c r="O11" s="2">
        <v>0.35</v>
      </c>
      <c r="P11" s="91">
        <v>25</v>
      </c>
      <c r="Q11" s="2">
        <v>28</v>
      </c>
      <c r="R11" s="640"/>
      <c r="S11" s="640"/>
      <c r="T11" s="640"/>
      <c r="U11" s="640"/>
      <c r="V11" s="640"/>
      <c r="W11" s="640"/>
      <c r="X11" s="640"/>
      <c r="Y11" s="640"/>
      <c r="Z11" s="640"/>
      <c r="AA11" s="640"/>
      <c r="AB11" s="2">
        <v>32</v>
      </c>
      <c r="AC11" s="145">
        <v>0</v>
      </c>
      <c r="AD11" s="2">
        <v>64</v>
      </c>
      <c r="AE11" s="2">
        <v>2</v>
      </c>
      <c r="AF11" s="640"/>
      <c r="AG11" s="640"/>
      <c r="AH11" s="640"/>
      <c r="AI11" s="640"/>
      <c r="AJ11" s="2">
        <v>70</v>
      </c>
      <c r="AK11" s="2">
        <v>67</v>
      </c>
      <c r="AL11" s="2">
        <v>0</v>
      </c>
      <c r="AM11" s="2">
        <v>0</v>
      </c>
      <c r="AN11" s="2"/>
      <c r="AO11" s="2"/>
      <c r="AP11" s="2"/>
      <c r="AQ11" s="2"/>
      <c r="AR11" s="55"/>
      <c r="AS11" s="55"/>
      <c r="AT11" s="55"/>
      <c r="AU11" s="55"/>
      <c r="AV11" s="145" t="s">
        <v>168</v>
      </c>
      <c r="AW11" s="145">
        <v>30</v>
      </c>
      <c r="AX11" s="2" t="s">
        <v>1139</v>
      </c>
      <c r="AY11" s="145" t="s">
        <v>306</v>
      </c>
      <c r="AZ11" s="117" t="s">
        <v>555</v>
      </c>
    </row>
    <row r="12" spans="1:52" s="293" customFormat="1" ht="31.5">
      <c r="A12" s="182" t="s">
        <v>934</v>
      </c>
      <c r="B12" s="152" t="s">
        <v>151</v>
      </c>
      <c r="C12" s="1033"/>
      <c r="D12" s="2">
        <v>20</v>
      </c>
      <c r="E12" s="2">
        <v>0</v>
      </c>
      <c r="F12" s="2">
        <v>75</v>
      </c>
      <c r="G12" s="2">
        <v>4.05</v>
      </c>
      <c r="H12" s="146"/>
      <c r="I12" s="146"/>
      <c r="J12" s="146"/>
      <c r="K12" s="146"/>
      <c r="L12" s="146"/>
      <c r="M12" s="146"/>
      <c r="N12" s="152"/>
      <c r="O12" s="146"/>
      <c r="P12" s="91"/>
      <c r="Q12" s="2"/>
      <c r="R12" s="640"/>
      <c r="S12" s="640"/>
      <c r="T12" s="640"/>
      <c r="U12" s="640"/>
      <c r="V12" s="640"/>
      <c r="W12" s="640"/>
      <c r="X12" s="640"/>
      <c r="Y12" s="640"/>
      <c r="Z12" s="640"/>
      <c r="AA12" s="640"/>
      <c r="AB12" s="2">
        <v>30</v>
      </c>
      <c r="AC12" s="145">
        <v>0</v>
      </c>
      <c r="AD12" s="2"/>
      <c r="AE12" s="2"/>
      <c r="AF12" s="640"/>
      <c r="AG12" s="640"/>
      <c r="AH12" s="640"/>
      <c r="AI12" s="640"/>
      <c r="AJ12" s="640"/>
      <c r="AK12" s="640"/>
      <c r="AL12" s="640"/>
      <c r="AM12" s="640"/>
      <c r="AN12" s="145">
        <v>10</v>
      </c>
      <c r="AO12" s="145"/>
      <c r="AP12" s="145">
        <v>100</v>
      </c>
      <c r="AQ12" s="145">
        <v>12.36</v>
      </c>
      <c r="AR12" s="55"/>
      <c r="AS12" s="55"/>
      <c r="AT12" s="55"/>
      <c r="AU12" s="55"/>
      <c r="AV12" s="145" t="s">
        <v>333</v>
      </c>
      <c r="AW12" s="145">
        <v>30</v>
      </c>
      <c r="AX12" s="145" t="s">
        <v>13</v>
      </c>
      <c r="AY12" s="145" t="s">
        <v>306</v>
      </c>
      <c r="AZ12" s="116" t="s">
        <v>1140</v>
      </c>
    </row>
    <row r="13" spans="1:52" s="13" customFormat="1" ht="30">
      <c r="A13" s="182" t="s">
        <v>165</v>
      </c>
      <c r="B13" s="152" t="s">
        <v>152</v>
      </c>
      <c r="C13" s="1062" t="s">
        <v>33</v>
      </c>
      <c r="D13" s="68">
        <v>64</v>
      </c>
      <c r="E13" s="68">
        <v>0</v>
      </c>
      <c r="F13" s="68">
        <v>64</v>
      </c>
      <c r="G13" s="68">
        <v>10.56</v>
      </c>
      <c r="H13" s="152"/>
      <c r="I13" s="152"/>
      <c r="J13" s="152"/>
      <c r="K13" s="152"/>
      <c r="L13" s="2">
        <v>5</v>
      </c>
      <c r="M13" s="2">
        <v>0</v>
      </c>
      <c r="N13" s="2">
        <v>300</v>
      </c>
      <c r="O13" s="2">
        <v>30</v>
      </c>
      <c r="P13" s="91">
        <v>416</v>
      </c>
      <c r="Q13" s="2">
        <v>355</v>
      </c>
      <c r="R13" s="145">
        <f>22*16</f>
        <v>352</v>
      </c>
      <c r="S13" s="2">
        <v>31.66</v>
      </c>
      <c r="T13" s="643">
        <v>500</v>
      </c>
      <c r="U13" s="643">
        <v>832</v>
      </c>
      <c r="V13" s="644">
        <v>500</v>
      </c>
      <c r="W13" s="645">
        <v>53.25</v>
      </c>
      <c r="X13" s="152"/>
      <c r="Y13" s="152"/>
      <c r="Z13" s="152"/>
      <c r="AA13" s="152"/>
      <c r="AB13" s="2">
        <v>240</v>
      </c>
      <c r="AC13" s="145">
        <v>177</v>
      </c>
      <c r="AD13" s="2">
        <v>336</v>
      </c>
      <c r="AE13" s="9">
        <v>19.6</v>
      </c>
      <c r="AF13" s="230">
        <f>20*16</f>
        <v>320</v>
      </c>
      <c r="AG13" s="230">
        <v>212</v>
      </c>
      <c r="AH13" s="2">
        <v>320</v>
      </c>
      <c r="AI13" s="2">
        <v>44.42</v>
      </c>
      <c r="AJ13" s="2"/>
      <c r="AK13" s="2"/>
      <c r="AL13" s="2"/>
      <c r="AM13" s="2"/>
      <c r="AN13" s="68">
        <v>72</v>
      </c>
      <c r="AO13" s="68"/>
      <c r="AP13" s="68">
        <v>64</v>
      </c>
      <c r="AQ13" s="68">
        <v>11.2</v>
      </c>
      <c r="AR13" s="2">
        <v>275</v>
      </c>
      <c r="AS13" s="145">
        <v>0</v>
      </c>
      <c r="AT13" s="2">
        <v>275</v>
      </c>
      <c r="AU13" s="145">
        <v>13.35</v>
      </c>
      <c r="AV13" s="145" t="s">
        <v>45</v>
      </c>
      <c r="AW13" s="145" t="s">
        <v>861</v>
      </c>
      <c r="AX13" s="145" t="s">
        <v>163</v>
      </c>
      <c r="AY13" s="145" t="s">
        <v>306</v>
      </c>
      <c r="AZ13" s="116" t="s">
        <v>282</v>
      </c>
    </row>
    <row r="14" spans="1:52" s="13" customFormat="1" ht="31.5">
      <c r="A14" s="182"/>
      <c r="B14" s="152" t="s">
        <v>151</v>
      </c>
      <c r="C14" s="1062"/>
      <c r="D14" s="145"/>
      <c r="E14" s="145"/>
      <c r="F14" s="145"/>
      <c r="G14" s="145"/>
      <c r="H14" s="152"/>
      <c r="I14" s="152"/>
      <c r="J14" s="152"/>
      <c r="K14" s="152"/>
      <c r="L14" s="152"/>
      <c r="M14" s="152"/>
      <c r="N14" s="152"/>
      <c r="O14" s="152"/>
      <c r="P14" s="91"/>
      <c r="Q14" s="2"/>
      <c r="R14" s="145"/>
      <c r="S14" s="2"/>
      <c r="T14" s="643"/>
      <c r="U14" s="643"/>
      <c r="V14" s="644"/>
      <c r="W14" s="645"/>
      <c r="X14" s="152"/>
      <c r="Y14" s="152"/>
      <c r="Z14" s="152"/>
      <c r="AA14" s="152"/>
      <c r="AB14" s="2"/>
      <c r="AC14" s="145">
        <v>48</v>
      </c>
      <c r="AD14" s="2"/>
      <c r="AE14" s="9"/>
      <c r="AF14" s="230"/>
      <c r="AG14" s="230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145"/>
      <c r="AT14" s="2"/>
      <c r="AU14" s="145"/>
      <c r="AV14" s="145" t="s">
        <v>9</v>
      </c>
      <c r="AW14" s="145">
        <v>20</v>
      </c>
      <c r="AX14" s="145" t="s">
        <v>1141</v>
      </c>
      <c r="AY14" s="145" t="s">
        <v>306</v>
      </c>
      <c r="AZ14" s="116" t="s">
        <v>1140</v>
      </c>
    </row>
    <row r="15" spans="1:52" s="13" customFormat="1" ht="15.75">
      <c r="A15" s="182" t="s">
        <v>567</v>
      </c>
      <c r="B15" s="151" t="s">
        <v>568</v>
      </c>
      <c r="C15" s="1062"/>
      <c r="D15" s="145">
        <v>672</v>
      </c>
      <c r="E15" s="145">
        <v>551</v>
      </c>
      <c r="F15" s="145">
        <v>480</v>
      </c>
      <c r="G15" s="145">
        <v>16.2</v>
      </c>
      <c r="H15" s="152"/>
      <c r="I15" s="152"/>
      <c r="J15" s="152"/>
      <c r="K15" s="152"/>
      <c r="L15" s="2">
        <v>6</v>
      </c>
      <c r="M15" s="2">
        <v>0</v>
      </c>
      <c r="N15" s="2">
        <v>500</v>
      </c>
      <c r="O15" s="2">
        <v>7</v>
      </c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2">
        <v>480</v>
      </c>
      <c r="AC15" s="145">
        <v>582</v>
      </c>
      <c r="AD15" s="2">
        <f>'[1]Child Health'!I19*'[1]Child Health'!J19</f>
        <v>840</v>
      </c>
      <c r="AE15" s="9">
        <v>18.9</v>
      </c>
      <c r="AF15" s="230">
        <f>22*32</f>
        <v>704</v>
      </c>
      <c r="AG15" s="230">
        <v>489</v>
      </c>
      <c r="AH15" s="2">
        <v>640</v>
      </c>
      <c r="AI15" s="2">
        <v>16.74</v>
      </c>
      <c r="AJ15" s="2">
        <v>4620</v>
      </c>
      <c r="AK15" s="2">
        <v>1575</v>
      </c>
      <c r="AL15" s="2">
        <v>2310</v>
      </c>
      <c r="AM15" s="9">
        <v>40.7</v>
      </c>
      <c r="AN15" s="145">
        <v>92</v>
      </c>
      <c r="AO15" s="145"/>
      <c r="AP15" s="145">
        <v>768</v>
      </c>
      <c r="AQ15" s="145">
        <v>25.92</v>
      </c>
      <c r="AR15" s="145">
        <v>1664</v>
      </c>
      <c r="AS15" s="152">
        <v>0</v>
      </c>
      <c r="AT15" s="145">
        <v>1376</v>
      </c>
      <c r="AU15" s="145">
        <v>30.7</v>
      </c>
      <c r="AV15" s="145" t="s">
        <v>37</v>
      </c>
      <c r="AW15" s="145">
        <v>15</v>
      </c>
      <c r="AX15" s="55" t="s">
        <v>569</v>
      </c>
      <c r="AY15" s="55" t="s">
        <v>306</v>
      </c>
      <c r="AZ15" s="116" t="s">
        <v>555</v>
      </c>
    </row>
    <row r="16" spans="1:52" s="638" customFormat="1" ht="15.75">
      <c r="A16" s="366" t="s">
        <v>314</v>
      </c>
      <c r="B16" s="152" t="s">
        <v>51</v>
      </c>
      <c r="C16" s="1062"/>
      <c r="D16" s="145"/>
      <c r="E16" s="145"/>
      <c r="F16" s="145"/>
      <c r="G16" s="145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55"/>
      <c r="AS16" s="55"/>
      <c r="AT16" s="55"/>
      <c r="AU16" s="55"/>
      <c r="AV16" s="145" t="s">
        <v>23</v>
      </c>
      <c r="AW16" s="145">
        <v>16</v>
      </c>
      <c r="AX16" s="145" t="s">
        <v>167</v>
      </c>
      <c r="AY16" s="145" t="s">
        <v>306</v>
      </c>
      <c r="AZ16" s="116" t="s">
        <v>316</v>
      </c>
    </row>
    <row r="17" spans="1:52" s="638" customFormat="1" ht="15.75">
      <c r="A17" s="366" t="s">
        <v>315</v>
      </c>
      <c r="B17" s="152" t="s">
        <v>170</v>
      </c>
      <c r="C17" s="1062"/>
      <c r="D17" s="145"/>
      <c r="E17" s="145"/>
      <c r="F17" s="145"/>
      <c r="G17" s="145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55"/>
      <c r="AS17" s="55"/>
      <c r="AT17" s="55"/>
      <c r="AU17" s="55"/>
      <c r="AV17" s="145" t="s">
        <v>15</v>
      </c>
      <c r="AW17" s="145" t="s">
        <v>862</v>
      </c>
      <c r="AX17" s="145" t="s">
        <v>167</v>
      </c>
      <c r="AY17" s="145" t="s">
        <v>306</v>
      </c>
      <c r="AZ17" s="116" t="s">
        <v>316</v>
      </c>
    </row>
    <row r="18" spans="1:52" s="638" customFormat="1" ht="15.75">
      <c r="A18" s="182" t="s">
        <v>171</v>
      </c>
      <c r="B18" s="152" t="s">
        <v>51</v>
      </c>
      <c r="C18" s="1031" t="s">
        <v>39</v>
      </c>
      <c r="D18" s="145">
        <v>1632</v>
      </c>
      <c r="E18" s="2">
        <v>645</v>
      </c>
      <c r="F18" s="145">
        <v>480</v>
      </c>
      <c r="G18" s="145">
        <v>16.2</v>
      </c>
      <c r="H18" s="2">
        <v>30</v>
      </c>
      <c r="I18" s="2">
        <v>0</v>
      </c>
      <c r="J18" s="646">
        <v>30</v>
      </c>
      <c r="K18" s="9">
        <v>0.4</v>
      </c>
      <c r="L18" s="2">
        <v>7</v>
      </c>
      <c r="M18" s="2">
        <v>0</v>
      </c>
      <c r="N18" s="2">
        <v>500</v>
      </c>
      <c r="O18" s="2">
        <v>7</v>
      </c>
      <c r="P18" s="68">
        <v>800</v>
      </c>
      <c r="Q18" s="145">
        <v>497</v>
      </c>
      <c r="R18" s="145">
        <f>17*32</f>
        <v>544</v>
      </c>
      <c r="S18" s="145">
        <v>8.04</v>
      </c>
      <c r="T18" s="643">
        <v>2000</v>
      </c>
      <c r="U18" s="643">
        <v>2898</v>
      </c>
      <c r="V18" s="644">
        <v>3600</v>
      </c>
      <c r="W18" s="645">
        <v>80.1</v>
      </c>
      <c r="X18" s="152"/>
      <c r="Y18" s="152"/>
      <c r="Z18" s="152"/>
      <c r="AA18" s="152"/>
      <c r="AB18" s="2">
        <v>1600</v>
      </c>
      <c r="AC18" s="145">
        <v>1514</v>
      </c>
      <c r="AD18" s="2">
        <v>1120</v>
      </c>
      <c r="AE18" s="2">
        <v>18.9</v>
      </c>
      <c r="AF18" s="131">
        <v>704</v>
      </c>
      <c r="AG18" s="131">
        <v>645</v>
      </c>
      <c r="AH18" s="2">
        <v>640</v>
      </c>
      <c r="AI18" s="2">
        <v>16.74</v>
      </c>
      <c r="AJ18" s="2"/>
      <c r="AK18" s="2"/>
      <c r="AL18" s="2"/>
      <c r="AM18" s="2"/>
      <c r="AN18" s="145">
        <v>138</v>
      </c>
      <c r="AO18" s="145">
        <v>128</v>
      </c>
      <c r="AP18" s="145">
        <v>768</v>
      </c>
      <c r="AQ18" s="145">
        <v>25.92</v>
      </c>
      <c r="AR18" s="55"/>
      <c r="AS18" s="55"/>
      <c r="AT18" s="55"/>
      <c r="AU18" s="55"/>
      <c r="AV18" s="145" t="s">
        <v>15</v>
      </c>
      <c r="AW18" s="145">
        <v>30</v>
      </c>
      <c r="AX18" s="145" t="s">
        <v>311</v>
      </c>
      <c r="AY18" s="145" t="s">
        <v>306</v>
      </c>
      <c r="AZ18" s="116" t="s">
        <v>316</v>
      </c>
    </row>
    <row r="19" spans="1:52" s="638" customFormat="1" ht="30">
      <c r="A19" s="182" t="s">
        <v>162</v>
      </c>
      <c r="B19" s="152" t="s">
        <v>60</v>
      </c>
      <c r="C19" s="1032"/>
      <c r="D19" s="145">
        <v>1872</v>
      </c>
      <c r="E19" s="68">
        <v>499</v>
      </c>
      <c r="F19" s="145">
        <v>936</v>
      </c>
      <c r="G19" s="68">
        <v>66.03</v>
      </c>
      <c r="H19" s="411"/>
      <c r="I19" s="411"/>
      <c r="J19" s="411"/>
      <c r="K19" s="411"/>
      <c r="L19" s="2">
        <v>25</v>
      </c>
      <c r="M19" s="2">
        <v>23</v>
      </c>
      <c r="N19" s="2">
        <v>600</v>
      </c>
      <c r="O19" s="2">
        <v>25</v>
      </c>
      <c r="P19" s="91">
        <v>500</v>
      </c>
      <c r="Q19" s="2">
        <v>402</v>
      </c>
      <c r="R19" s="145">
        <f>9*25</f>
        <v>225</v>
      </c>
      <c r="S19" s="2">
        <v>13.06</v>
      </c>
      <c r="T19" s="643">
        <v>900</v>
      </c>
      <c r="U19" s="643">
        <v>845</v>
      </c>
      <c r="V19" s="644">
        <v>900</v>
      </c>
      <c r="W19" s="645">
        <v>66</v>
      </c>
      <c r="X19" s="152"/>
      <c r="Y19" s="152"/>
      <c r="Z19" s="152"/>
      <c r="AA19" s="152"/>
      <c r="AB19" s="2">
        <v>960</v>
      </c>
      <c r="AC19" s="145">
        <v>679</v>
      </c>
      <c r="AD19" s="2">
        <v>936</v>
      </c>
      <c r="AE19" s="2">
        <v>28.86</v>
      </c>
      <c r="AF19" s="132">
        <f>25*24</f>
        <v>600</v>
      </c>
      <c r="AG19" s="132">
        <v>519</v>
      </c>
      <c r="AH19" s="2">
        <v>600</v>
      </c>
      <c r="AI19" s="127">
        <v>35.62</v>
      </c>
      <c r="AJ19" s="2">
        <v>4480</v>
      </c>
      <c r="AK19" s="2">
        <v>4570</v>
      </c>
      <c r="AL19" s="2">
        <v>2280</v>
      </c>
      <c r="AM19" s="2">
        <v>42.99</v>
      </c>
      <c r="AN19" s="145">
        <v>348</v>
      </c>
      <c r="AO19" s="68">
        <v>432</v>
      </c>
      <c r="AP19" s="145">
        <v>576</v>
      </c>
      <c r="AQ19" s="68">
        <v>59.14</v>
      </c>
      <c r="AR19" s="55">
        <v>2760</v>
      </c>
      <c r="AS19" s="145">
        <v>0</v>
      </c>
      <c r="AT19" s="55">
        <v>1440</v>
      </c>
      <c r="AU19" s="145">
        <v>120</v>
      </c>
      <c r="AV19" s="145" t="s">
        <v>61</v>
      </c>
      <c r="AW19" s="145">
        <v>30</v>
      </c>
      <c r="AX19" s="145" t="s">
        <v>286</v>
      </c>
      <c r="AY19" s="145" t="s">
        <v>306</v>
      </c>
      <c r="AZ19" s="116" t="s">
        <v>287</v>
      </c>
    </row>
    <row r="20" spans="1:52" s="638" customFormat="1" ht="47.25">
      <c r="A20" s="182" t="s">
        <v>161</v>
      </c>
      <c r="B20" s="152" t="s">
        <v>288</v>
      </c>
      <c r="C20" s="145" t="s">
        <v>289</v>
      </c>
      <c r="D20" s="55">
        <v>24</v>
      </c>
      <c r="E20" s="55">
        <v>0</v>
      </c>
      <c r="F20" s="55">
        <v>96</v>
      </c>
      <c r="G20" s="55">
        <v>10</v>
      </c>
      <c r="H20" s="152"/>
      <c r="I20" s="152"/>
      <c r="J20" s="152"/>
      <c r="K20" s="152"/>
      <c r="L20" s="647">
        <v>0</v>
      </c>
      <c r="M20" s="647">
        <v>0</v>
      </c>
      <c r="N20" s="2">
        <v>24</v>
      </c>
      <c r="O20" s="647">
        <v>1</v>
      </c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2">
        <v>400</v>
      </c>
      <c r="AC20" s="145">
        <v>35</v>
      </c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45">
        <v>144</v>
      </c>
      <c r="AO20" s="145"/>
      <c r="AP20" s="145">
        <v>576</v>
      </c>
      <c r="AQ20" s="145">
        <v>64.8</v>
      </c>
      <c r="AR20" s="55"/>
      <c r="AS20" s="55"/>
      <c r="AT20" s="55"/>
      <c r="AU20" s="55"/>
      <c r="AV20" s="145" t="s">
        <v>61</v>
      </c>
      <c r="AW20" s="145" t="s">
        <v>865</v>
      </c>
      <c r="AX20" s="145" t="s">
        <v>290</v>
      </c>
      <c r="AY20" s="145" t="s">
        <v>306</v>
      </c>
      <c r="AZ20" s="116" t="s">
        <v>291</v>
      </c>
    </row>
    <row r="21" spans="1:52" s="18" customFormat="1" ht="15.75">
      <c r="A21" s="26"/>
      <c r="B21" s="1027" t="s">
        <v>30</v>
      </c>
      <c r="C21" s="1027"/>
      <c r="D21" s="153">
        <f>SUM(D6:D20)</f>
        <v>5020</v>
      </c>
      <c r="E21" s="153">
        <f aca="true" t="shared" si="0" ref="E21:AU21">SUM(E6:E20)</f>
        <v>1859</v>
      </c>
      <c r="F21" s="153">
        <f t="shared" si="0"/>
        <v>2750</v>
      </c>
      <c r="G21" s="153">
        <f t="shared" si="0"/>
        <v>153.85000000000002</v>
      </c>
      <c r="H21" s="153">
        <f t="shared" si="0"/>
        <v>60</v>
      </c>
      <c r="I21" s="153">
        <f t="shared" si="0"/>
        <v>0</v>
      </c>
      <c r="J21" s="153">
        <f t="shared" si="0"/>
        <v>30</v>
      </c>
      <c r="K21" s="153">
        <f t="shared" si="0"/>
        <v>0.4</v>
      </c>
      <c r="L21" s="153">
        <f t="shared" si="0"/>
        <v>299</v>
      </c>
      <c r="M21" s="153">
        <f t="shared" si="0"/>
        <v>1259</v>
      </c>
      <c r="N21" s="153">
        <f t="shared" si="0"/>
        <v>2279</v>
      </c>
      <c r="O21" s="153">
        <f t="shared" si="0"/>
        <v>86.1</v>
      </c>
      <c r="P21" s="153">
        <f t="shared" si="0"/>
        <v>2429</v>
      </c>
      <c r="Q21" s="153">
        <f t="shared" si="0"/>
        <v>1794</v>
      </c>
      <c r="R21" s="153">
        <f t="shared" si="0"/>
        <v>1986</v>
      </c>
      <c r="S21" s="153">
        <f t="shared" si="0"/>
        <v>71.27999999999999</v>
      </c>
      <c r="T21" s="153">
        <f t="shared" si="0"/>
        <v>4300</v>
      </c>
      <c r="U21" s="153">
        <f t="shared" si="0"/>
        <v>5419</v>
      </c>
      <c r="V21" s="153">
        <f t="shared" si="0"/>
        <v>6000</v>
      </c>
      <c r="W21" s="153">
        <f t="shared" si="0"/>
        <v>298.58</v>
      </c>
      <c r="X21" s="153">
        <f t="shared" si="0"/>
        <v>0</v>
      </c>
      <c r="Y21" s="153">
        <f t="shared" si="0"/>
        <v>0</v>
      </c>
      <c r="Z21" s="153">
        <f t="shared" si="0"/>
        <v>0</v>
      </c>
      <c r="AA21" s="153">
        <f t="shared" si="0"/>
        <v>0</v>
      </c>
      <c r="AB21" s="153">
        <f t="shared" si="0"/>
        <v>6639</v>
      </c>
      <c r="AC21" s="153">
        <f t="shared" si="0"/>
        <v>3648</v>
      </c>
      <c r="AD21" s="153">
        <f t="shared" si="0"/>
        <v>6893</v>
      </c>
      <c r="AE21" s="153">
        <f t="shared" si="0"/>
        <v>194.39</v>
      </c>
      <c r="AF21" s="153">
        <f t="shared" si="0"/>
        <v>3048</v>
      </c>
      <c r="AG21" s="153">
        <f t="shared" si="0"/>
        <v>2232</v>
      </c>
      <c r="AH21" s="153">
        <f t="shared" si="0"/>
        <v>2856</v>
      </c>
      <c r="AI21" s="153">
        <f t="shared" si="0"/>
        <v>166.97</v>
      </c>
      <c r="AJ21" s="153">
        <f t="shared" si="0"/>
        <v>9170</v>
      </c>
      <c r="AK21" s="153">
        <f t="shared" si="0"/>
        <v>6212</v>
      </c>
      <c r="AL21" s="153">
        <f t="shared" si="0"/>
        <v>4590</v>
      </c>
      <c r="AM21" s="153">
        <f t="shared" si="0"/>
        <v>83.69</v>
      </c>
      <c r="AN21" s="153">
        <f t="shared" si="0"/>
        <v>922</v>
      </c>
      <c r="AO21" s="153">
        <f t="shared" si="0"/>
        <v>705</v>
      </c>
      <c r="AP21" s="153">
        <f t="shared" si="0"/>
        <v>3932</v>
      </c>
      <c r="AQ21" s="153">
        <f t="shared" si="0"/>
        <v>264.99</v>
      </c>
      <c r="AR21" s="153">
        <f t="shared" si="0"/>
        <v>7395</v>
      </c>
      <c r="AS21" s="153">
        <f t="shared" si="0"/>
        <v>0</v>
      </c>
      <c r="AT21" s="153">
        <f t="shared" si="0"/>
        <v>3803</v>
      </c>
      <c r="AU21" s="153">
        <f t="shared" si="0"/>
        <v>188.54</v>
      </c>
      <c r="AV21" s="163"/>
      <c r="AW21" s="163"/>
      <c r="AX21" s="163"/>
      <c r="AY21" s="163"/>
      <c r="AZ21" s="243"/>
    </row>
    <row r="22" spans="1:52" s="652" customFormat="1" ht="15.75">
      <c r="A22" s="182" t="s">
        <v>172</v>
      </c>
      <c r="B22" s="151" t="s">
        <v>47</v>
      </c>
      <c r="C22" s="5" t="s">
        <v>50</v>
      </c>
      <c r="D22" s="2">
        <v>20</v>
      </c>
      <c r="E22" s="2">
        <v>0</v>
      </c>
      <c r="F22" s="2">
        <v>40</v>
      </c>
      <c r="G22" s="2">
        <v>9.5</v>
      </c>
      <c r="H22" s="648"/>
      <c r="I22" s="648"/>
      <c r="J22" s="648"/>
      <c r="K22" s="648"/>
      <c r="L22" s="127">
        <v>0</v>
      </c>
      <c r="M22" s="649">
        <v>0</v>
      </c>
      <c r="N22" s="650">
        <v>144</v>
      </c>
      <c r="O22" s="649">
        <v>26.48</v>
      </c>
      <c r="P22" s="144">
        <v>240</v>
      </c>
      <c r="Q22" s="144">
        <v>0</v>
      </c>
      <c r="R22" s="144">
        <f>6*'[3]Child Health'!J21</f>
        <v>144</v>
      </c>
      <c r="S22" s="144">
        <v>25.2</v>
      </c>
      <c r="T22" s="6"/>
      <c r="U22" s="6"/>
      <c r="V22" s="6"/>
      <c r="W22" s="6"/>
      <c r="X22" s="6"/>
      <c r="Y22" s="6"/>
      <c r="Z22" s="6"/>
      <c r="AA22" s="6"/>
      <c r="AB22" s="2">
        <v>60</v>
      </c>
      <c r="AC22" s="145">
        <v>29</v>
      </c>
      <c r="AD22" s="2">
        <v>80</v>
      </c>
      <c r="AE22" s="2">
        <v>3</v>
      </c>
      <c r="AF22" s="6"/>
      <c r="AG22" s="6"/>
      <c r="AH22" s="2">
        <v>88</v>
      </c>
      <c r="AI22" s="651">
        <v>7.61</v>
      </c>
      <c r="AJ22" s="651"/>
      <c r="AK22" s="651"/>
      <c r="AL22" s="651"/>
      <c r="AM22" s="651"/>
      <c r="AN22" s="145"/>
      <c r="AO22" s="145"/>
      <c r="AP22" s="145">
        <v>48</v>
      </c>
      <c r="AQ22" s="145">
        <v>2.5</v>
      </c>
      <c r="AR22" s="55">
        <v>240</v>
      </c>
      <c r="AS22" s="145">
        <v>0</v>
      </c>
      <c r="AT22" s="55">
        <v>120</v>
      </c>
      <c r="AU22" s="145">
        <v>29.29</v>
      </c>
      <c r="AV22" s="33" t="s">
        <v>87</v>
      </c>
      <c r="AW22" s="152">
        <v>20</v>
      </c>
      <c r="AX22" s="33" t="s">
        <v>292</v>
      </c>
      <c r="AY22" s="145" t="s">
        <v>306</v>
      </c>
      <c r="AZ22" s="116" t="s">
        <v>293</v>
      </c>
    </row>
    <row r="23" spans="1:52" s="652" customFormat="1" ht="31.5">
      <c r="A23" s="182" t="s">
        <v>175</v>
      </c>
      <c r="B23" s="152" t="s">
        <v>173</v>
      </c>
      <c r="C23" s="145" t="s">
        <v>317</v>
      </c>
      <c r="D23" s="145">
        <v>20</v>
      </c>
      <c r="E23" s="145"/>
      <c r="F23" s="145">
        <v>40</v>
      </c>
      <c r="G23" s="145">
        <v>8.4</v>
      </c>
      <c r="H23" s="146"/>
      <c r="I23" s="146"/>
      <c r="J23" s="146"/>
      <c r="K23" s="146"/>
      <c r="L23" s="127">
        <v>0</v>
      </c>
      <c r="M23" s="649">
        <v>0</v>
      </c>
      <c r="N23" s="650">
        <v>144</v>
      </c>
      <c r="O23" s="649">
        <v>26.48</v>
      </c>
      <c r="P23" s="144">
        <v>72</v>
      </c>
      <c r="Q23" s="144">
        <v>0</v>
      </c>
      <c r="R23" s="144">
        <v>4</v>
      </c>
      <c r="S23" s="144">
        <v>11.2</v>
      </c>
      <c r="T23" s="643">
        <v>150</v>
      </c>
      <c r="U23" s="643">
        <v>133</v>
      </c>
      <c r="V23" s="644">
        <v>60</v>
      </c>
      <c r="W23" s="645">
        <v>9.38</v>
      </c>
      <c r="X23" s="152"/>
      <c r="Y23" s="152"/>
      <c r="Z23" s="152"/>
      <c r="AA23" s="152"/>
      <c r="AB23" s="2">
        <v>60</v>
      </c>
      <c r="AC23" s="145">
        <v>29</v>
      </c>
      <c r="AD23" s="2">
        <v>80</v>
      </c>
      <c r="AE23" s="2">
        <v>9.52</v>
      </c>
      <c r="AF23" s="152"/>
      <c r="AG23" s="152"/>
      <c r="AH23" s="152"/>
      <c r="AI23" s="152"/>
      <c r="AJ23" s="152"/>
      <c r="AK23" s="152"/>
      <c r="AL23" s="152"/>
      <c r="AM23" s="152"/>
      <c r="AN23" s="145"/>
      <c r="AO23" s="145"/>
      <c r="AP23" s="145">
        <v>48</v>
      </c>
      <c r="AQ23" s="145">
        <v>9.84</v>
      </c>
      <c r="AR23" s="91"/>
      <c r="AS23" s="91"/>
      <c r="AT23" s="91"/>
      <c r="AU23" s="91"/>
      <c r="AV23" s="145" t="s">
        <v>174</v>
      </c>
      <c r="AW23" s="145">
        <v>25</v>
      </c>
      <c r="AX23" s="145" t="s">
        <v>575</v>
      </c>
      <c r="AY23" s="145" t="s">
        <v>306</v>
      </c>
      <c r="AZ23" s="116" t="s">
        <v>318</v>
      </c>
    </row>
    <row r="24" spans="1:52" s="652" customFormat="1" ht="30">
      <c r="A24" s="182" t="s">
        <v>176</v>
      </c>
      <c r="B24" s="152" t="s">
        <v>62</v>
      </c>
      <c r="C24" s="145" t="s">
        <v>177</v>
      </c>
      <c r="D24" s="2">
        <v>21</v>
      </c>
      <c r="E24" s="2">
        <v>0</v>
      </c>
      <c r="F24" s="2">
        <v>6120</v>
      </c>
      <c r="G24" s="2">
        <v>44.8</v>
      </c>
      <c r="H24" s="5">
        <v>30</v>
      </c>
      <c r="I24" s="5">
        <v>0</v>
      </c>
      <c r="J24" s="5">
        <v>0</v>
      </c>
      <c r="K24" s="572">
        <v>0</v>
      </c>
      <c r="L24" s="127">
        <v>1000</v>
      </c>
      <c r="M24" s="649">
        <v>868</v>
      </c>
      <c r="N24" s="650">
        <v>625</v>
      </c>
      <c r="O24" s="649">
        <v>12.5</v>
      </c>
      <c r="P24" s="653">
        <v>9301</v>
      </c>
      <c r="Q24" s="653">
        <v>1240</v>
      </c>
      <c r="R24" s="653">
        <v>100</v>
      </c>
      <c r="S24" s="653">
        <v>52.09</v>
      </c>
      <c r="T24" s="643">
        <v>4500</v>
      </c>
      <c r="U24" s="643">
        <v>3510</v>
      </c>
      <c r="V24" s="644">
        <v>5250</v>
      </c>
      <c r="W24" s="645">
        <v>180</v>
      </c>
      <c r="X24" s="152"/>
      <c r="Y24" s="152"/>
      <c r="Z24" s="152"/>
      <c r="AA24" s="152"/>
      <c r="AB24" s="2">
        <v>2730</v>
      </c>
      <c r="AC24" s="145">
        <v>2580</v>
      </c>
      <c r="AD24" s="152"/>
      <c r="AE24" s="152"/>
      <c r="AF24" s="131">
        <f>1*25</f>
        <v>25</v>
      </c>
      <c r="AG24" s="131">
        <v>0</v>
      </c>
      <c r="AH24" s="152"/>
      <c r="AI24" s="152"/>
      <c r="AJ24" s="152"/>
      <c r="AK24" s="152"/>
      <c r="AL24" s="152"/>
      <c r="AM24" s="152"/>
      <c r="AN24" s="145">
        <v>2</v>
      </c>
      <c r="AO24" s="145"/>
      <c r="AP24" s="145">
        <v>600</v>
      </c>
      <c r="AQ24" s="145">
        <v>22.74</v>
      </c>
      <c r="AR24" s="55">
        <v>1704</v>
      </c>
      <c r="AS24" s="145">
        <v>0</v>
      </c>
      <c r="AT24" s="55">
        <v>1704</v>
      </c>
      <c r="AU24" s="145">
        <v>29.29</v>
      </c>
      <c r="AV24" s="145" t="s">
        <v>37</v>
      </c>
      <c r="AW24" s="145">
        <v>25</v>
      </c>
      <c r="AX24" s="145" t="s">
        <v>56</v>
      </c>
      <c r="AY24" s="145" t="s">
        <v>306</v>
      </c>
      <c r="AZ24" s="116" t="s">
        <v>294</v>
      </c>
    </row>
    <row r="25" spans="1:52" s="652" customFormat="1" ht="30">
      <c r="A25" s="182" t="s">
        <v>646</v>
      </c>
      <c r="B25" s="92" t="s">
        <v>1142</v>
      </c>
      <c r="C25" s="2" t="s">
        <v>1143</v>
      </c>
      <c r="D25" s="416"/>
      <c r="E25" s="416"/>
      <c r="F25" s="416"/>
      <c r="G25" s="416"/>
      <c r="H25" s="654"/>
      <c r="I25" s="654"/>
      <c r="J25" s="654"/>
      <c r="K25" s="654"/>
      <c r="L25" s="127"/>
      <c r="M25" s="649"/>
      <c r="N25" s="650"/>
      <c r="O25" s="649"/>
      <c r="P25" s="653"/>
      <c r="Q25" s="653"/>
      <c r="R25" s="653"/>
      <c r="S25" s="653"/>
      <c r="T25" s="643"/>
      <c r="U25" s="643"/>
      <c r="V25" s="644"/>
      <c r="W25" s="645"/>
      <c r="X25" s="152"/>
      <c r="Y25" s="152"/>
      <c r="Z25" s="152"/>
      <c r="AA25" s="152"/>
      <c r="AB25" s="2">
        <v>9073</v>
      </c>
      <c r="AC25" s="2">
        <v>6684</v>
      </c>
      <c r="AD25" s="152"/>
      <c r="AE25" s="152"/>
      <c r="AF25" s="131"/>
      <c r="AG25" s="131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55"/>
      <c r="AS25" s="145"/>
      <c r="AT25" s="55"/>
      <c r="AU25" s="145"/>
      <c r="AV25" s="145" t="s">
        <v>15</v>
      </c>
      <c r="AW25" s="2">
        <v>30</v>
      </c>
      <c r="AX25" s="2" t="s">
        <v>1144</v>
      </c>
      <c r="AY25" s="2" t="s">
        <v>306</v>
      </c>
      <c r="AZ25" s="118" t="s">
        <v>1145</v>
      </c>
    </row>
    <row r="26" spans="1:52" s="652" customFormat="1" ht="30">
      <c r="A26" s="182" t="s">
        <v>646</v>
      </c>
      <c r="B26" s="92" t="s">
        <v>1146</v>
      </c>
      <c r="C26" s="2" t="s">
        <v>648</v>
      </c>
      <c r="D26" s="2"/>
      <c r="E26" s="2"/>
      <c r="F26" s="2"/>
      <c r="G26" s="2"/>
      <c r="H26" s="2">
        <v>4</v>
      </c>
      <c r="I26" s="2">
        <v>0</v>
      </c>
      <c r="J26" s="2">
        <v>0</v>
      </c>
      <c r="K26" s="9">
        <v>0</v>
      </c>
      <c r="L26" s="127">
        <v>12</v>
      </c>
      <c r="M26" s="649">
        <v>0</v>
      </c>
      <c r="N26" s="650" t="s">
        <v>610</v>
      </c>
      <c r="O26" s="649">
        <v>30.36</v>
      </c>
      <c r="P26" s="142">
        <v>510</v>
      </c>
      <c r="Q26" s="142"/>
      <c r="R26" s="91"/>
      <c r="S26" s="142">
        <v>18.46</v>
      </c>
      <c r="T26" s="643">
        <v>2500</v>
      </c>
      <c r="U26" s="643">
        <v>0</v>
      </c>
      <c r="V26" s="644">
        <v>3440</v>
      </c>
      <c r="W26" s="645">
        <v>68.34</v>
      </c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145">
        <v>2</v>
      </c>
      <c r="AO26" s="145"/>
      <c r="AP26" s="68">
        <v>60</v>
      </c>
      <c r="AQ26" s="145">
        <v>3.8</v>
      </c>
      <c r="AR26" s="145"/>
      <c r="AS26" s="145"/>
      <c r="AT26" s="145"/>
      <c r="AU26" s="145"/>
      <c r="AV26" s="33" t="s">
        <v>87</v>
      </c>
      <c r="AW26" s="145">
        <v>30</v>
      </c>
      <c r="AX26" s="145"/>
      <c r="AY26" s="145" t="s">
        <v>306</v>
      </c>
      <c r="AZ26" s="116"/>
    </row>
    <row r="27" spans="1:52" s="652" customFormat="1" ht="31.5">
      <c r="A27" s="182" t="s">
        <v>357</v>
      </c>
      <c r="B27" s="152" t="s">
        <v>359</v>
      </c>
      <c r="C27" s="145" t="s">
        <v>226</v>
      </c>
      <c r="D27" s="145"/>
      <c r="E27" s="145"/>
      <c r="F27" s="145"/>
      <c r="G27" s="145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45"/>
      <c r="AS27" s="145"/>
      <c r="AT27" s="145"/>
      <c r="AU27" s="145"/>
      <c r="AV27" s="145" t="s">
        <v>12</v>
      </c>
      <c r="AW27" s="145">
        <v>25</v>
      </c>
      <c r="AX27" s="145" t="s">
        <v>351</v>
      </c>
      <c r="AY27" s="145" t="s">
        <v>306</v>
      </c>
      <c r="AZ27" s="116" t="s">
        <v>360</v>
      </c>
    </row>
    <row r="28" spans="1:52" s="652" customFormat="1" ht="15.75">
      <c r="A28" s="182" t="s">
        <v>358</v>
      </c>
      <c r="B28" s="152" t="s">
        <v>60</v>
      </c>
      <c r="C28" s="145" t="s">
        <v>226</v>
      </c>
      <c r="D28" s="145"/>
      <c r="E28" s="145"/>
      <c r="F28" s="145"/>
      <c r="G28" s="145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45"/>
      <c r="AS28" s="145"/>
      <c r="AT28" s="145"/>
      <c r="AU28" s="145"/>
      <c r="AV28" s="145" t="s">
        <v>61</v>
      </c>
      <c r="AW28" s="145">
        <v>25</v>
      </c>
      <c r="AX28" s="145" t="s">
        <v>311</v>
      </c>
      <c r="AY28" s="145" t="s">
        <v>306</v>
      </c>
      <c r="AZ28" s="116" t="s">
        <v>329</v>
      </c>
    </row>
    <row r="29" spans="1:52" s="652" customFormat="1" ht="63">
      <c r="A29" s="182" t="s">
        <v>178</v>
      </c>
      <c r="B29" s="151" t="s">
        <v>1147</v>
      </c>
      <c r="C29" s="2" t="s">
        <v>675</v>
      </c>
      <c r="D29" s="145"/>
      <c r="E29" s="145"/>
      <c r="F29" s="145">
        <v>25</v>
      </c>
      <c r="G29" s="145">
        <v>7.5</v>
      </c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45"/>
      <c r="AO29" s="145"/>
      <c r="AP29" s="68">
        <v>50</v>
      </c>
      <c r="AQ29" s="145">
        <v>2.9</v>
      </c>
      <c r="AR29" s="145"/>
      <c r="AS29" s="145"/>
      <c r="AT29" s="145"/>
      <c r="AU29" s="145"/>
      <c r="AV29" s="67" t="s">
        <v>37</v>
      </c>
      <c r="AW29" s="145">
        <v>25</v>
      </c>
      <c r="AX29" s="145" t="s">
        <v>1148</v>
      </c>
      <c r="AY29" s="145" t="s">
        <v>306</v>
      </c>
      <c r="AZ29" s="116" t="s">
        <v>1149</v>
      </c>
    </row>
    <row r="30" spans="1:52" s="652" customFormat="1" ht="63">
      <c r="A30" s="182" t="s">
        <v>178</v>
      </c>
      <c r="B30" s="151" t="s">
        <v>1147</v>
      </c>
      <c r="C30" s="2" t="s">
        <v>1150</v>
      </c>
      <c r="D30" s="145"/>
      <c r="E30" s="145"/>
      <c r="F30" s="145">
        <v>100</v>
      </c>
      <c r="G30" s="145">
        <v>9.2</v>
      </c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45"/>
      <c r="AS30" s="145"/>
      <c r="AT30" s="145"/>
      <c r="AU30" s="145"/>
      <c r="AV30" s="67" t="s">
        <v>37</v>
      </c>
      <c r="AW30" s="145">
        <v>25</v>
      </c>
      <c r="AX30" s="145" t="s">
        <v>1151</v>
      </c>
      <c r="AY30" s="145" t="s">
        <v>306</v>
      </c>
      <c r="AZ30" s="116" t="s">
        <v>1149</v>
      </c>
    </row>
    <row r="31" spans="1:52" s="652" customFormat="1" ht="15.75">
      <c r="A31" s="182" t="s">
        <v>178</v>
      </c>
      <c r="B31" s="96" t="s">
        <v>47</v>
      </c>
      <c r="C31" s="131" t="s">
        <v>675</v>
      </c>
      <c r="D31" s="131"/>
      <c r="E31" s="131"/>
      <c r="F31" s="131"/>
      <c r="G31" s="131"/>
      <c r="H31" s="5">
        <v>4</v>
      </c>
      <c r="I31" s="5">
        <v>0</v>
      </c>
      <c r="J31" s="5">
        <v>4</v>
      </c>
      <c r="K31" s="572">
        <v>1.4</v>
      </c>
      <c r="L31" s="572"/>
      <c r="M31" s="572"/>
      <c r="N31" s="572"/>
      <c r="O31" s="572"/>
      <c r="P31" s="131"/>
      <c r="Q31" s="131"/>
      <c r="R31" s="131"/>
      <c r="S31" s="131"/>
      <c r="T31" s="152"/>
      <c r="U31" s="152"/>
      <c r="V31" s="152"/>
      <c r="W31" s="152"/>
      <c r="X31" s="152"/>
      <c r="Y31" s="152"/>
      <c r="Z31" s="152"/>
      <c r="AA31" s="152"/>
      <c r="AB31" s="2"/>
      <c r="AC31" s="145"/>
      <c r="AD31" s="2">
        <v>300</v>
      </c>
      <c r="AE31" s="2">
        <v>6.4</v>
      </c>
      <c r="AF31" s="152"/>
      <c r="AG31" s="152"/>
      <c r="AH31" s="2">
        <v>20</v>
      </c>
      <c r="AI31" s="2">
        <v>4.74</v>
      </c>
      <c r="AJ31" s="2"/>
      <c r="AK31" s="2"/>
      <c r="AL31" s="2"/>
      <c r="AM31" s="2"/>
      <c r="AN31" s="2"/>
      <c r="AO31" s="2"/>
      <c r="AP31" s="2"/>
      <c r="AQ31" s="2"/>
      <c r="AR31" s="145"/>
      <c r="AS31" s="145"/>
      <c r="AT31" s="145"/>
      <c r="AU31" s="145"/>
      <c r="AV31" s="2" t="s">
        <v>920</v>
      </c>
      <c r="AW31" s="145">
        <v>20</v>
      </c>
      <c r="AX31" s="145" t="s">
        <v>13</v>
      </c>
      <c r="AY31" s="2" t="s">
        <v>306</v>
      </c>
      <c r="AZ31" s="118" t="s">
        <v>306</v>
      </c>
    </row>
    <row r="32" spans="1:52" s="652" customFormat="1" ht="31.5">
      <c r="A32" s="182" t="s">
        <v>178</v>
      </c>
      <c r="B32" s="152" t="s">
        <v>179</v>
      </c>
      <c r="C32" s="145" t="s">
        <v>153</v>
      </c>
      <c r="D32" s="145"/>
      <c r="E32" s="145"/>
      <c r="F32" s="145"/>
      <c r="G32" s="145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643">
        <v>30</v>
      </c>
      <c r="U32" s="643">
        <v>229</v>
      </c>
      <c r="V32" s="644">
        <v>15</v>
      </c>
      <c r="W32" s="645">
        <v>11.48</v>
      </c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45"/>
      <c r="AS32" s="145"/>
      <c r="AT32" s="145"/>
      <c r="AU32" s="145"/>
      <c r="AV32" s="2" t="s">
        <v>37</v>
      </c>
      <c r="AW32" s="2">
        <v>24</v>
      </c>
      <c r="AX32" s="145" t="s">
        <v>311</v>
      </c>
      <c r="AY32" s="2" t="s">
        <v>306</v>
      </c>
      <c r="AZ32" s="118" t="s">
        <v>644</v>
      </c>
    </row>
    <row r="33" spans="1:52" s="18" customFormat="1" ht="15.75">
      <c r="A33" s="26"/>
      <c r="B33" s="1027" t="s">
        <v>30</v>
      </c>
      <c r="C33" s="1027"/>
      <c r="D33" s="153">
        <f>SUM(D22:D32)</f>
        <v>61</v>
      </c>
      <c r="E33" s="153">
        <f aca="true" t="shared" si="1" ref="E33:AU33">SUM(E22:E32)</f>
        <v>0</v>
      </c>
      <c r="F33" s="153">
        <f t="shared" si="1"/>
        <v>6325</v>
      </c>
      <c r="G33" s="153">
        <f t="shared" si="1"/>
        <v>79.39999999999999</v>
      </c>
      <c r="H33" s="153">
        <f t="shared" si="1"/>
        <v>38</v>
      </c>
      <c r="I33" s="153">
        <f t="shared" si="1"/>
        <v>0</v>
      </c>
      <c r="J33" s="153">
        <f t="shared" si="1"/>
        <v>4</v>
      </c>
      <c r="K33" s="153">
        <f t="shared" si="1"/>
        <v>1.4</v>
      </c>
      <c r="L33" s="153">
        <f t="shared" si="1"/>
        <v>1012</v>
      </c>
      <c r="M33" s="153">
        <f t="shared" si="1"/>
        <v>868</v>
      </c>
      <c r="N33" s="153">
        <f t="shared" si="1"/>
        <v>913</v>
      </c>
      <c r="O33" s="153">
        <f t="shared" si="1"/>
        <v>95.82000000000001</v>
      </c>
      <c r="P33" s="153">
        <f t="shared" si="1"/>
        <v>10123</v>
      </c>
      <c r="Q33" s="153">
        <f t="shared" si="1"/>
        <v>1240</v>
      </c>
      <c r="R33" s="153">
        <f t="shared" si="1"/>
        <v>248</v>
      </c>
      <c r="S33" s="153">
        <f t="shared" si="1"/>
        <v>106.95000000000002</v>
      </c>
      <c r="T33" s="153">
        <f t="shared" si="1"/>
        <v>7180</v>
      </c>
      <c r="U33" s="153">
        <f t="shared" si="1"/>
        <v>3872</v>
      </c>
      <c r="V33" s="153">
        <f t="shared" si="1"/>
        <v>8765</v>
      </c>
      <c r="W33" s="153">
        <f t="shared" si="1"/>
        <v>269.20000000000005</v>
      </c>
      <c r="X33" s="153">
        <f t="shared" si="1"/>
        <v>0</v>
      </c>
      <c r="Y33" s="153">
        <f t="shared" si="1"/>
        <v>0</v>
      </c>
      <c r="Z33" s="153">
        <f t="shared" si="1"/>
        <v>0</v>
      </c>
      <c r="AA33" s="153">
        <f t="shared" si="1"/>
        <v>0</v>
      </c>
      <c r="AB33" s="153">
        <f t="shared" si="1"/>
        <v>11923</v>
      </c>
      <c r="AC33" s="153">
        <f t="shared" si="1"/>
        <v>9322</v>
      </c>
      <c r="AD33" s="153">
        <f t="shared" si="1"/>
        <v>460</v>
      </c>
      <c r="AE33" s="153">
        <f t="shared" si="1"/>
        <v>18.92</v>
      </c>
      <c r="AF33" s="153">
        <f t="shared" si="1"/>
        <v>25</v>
      </c>
      <c r="AG33" s="153">
        <f t="shared" si="1"/>
        <v>0</v>
      </c>
      <c r="AH33" s="153">
        <f t="shared" si="1"/>
        <v>108</v>
      </c>
      <c r="AI33" s="153">
        <f t="shared" si="1"/>
        <v>12.350000000000001</v>
      </c>
      <c r="AJ33" s="153">
        <f t="shared" si="1"/>
        <v>0</v>
      </c>
      <c r="AK33" s="153">
        <f t="shared" si="1"/>
        <v>0</v>
      </c>
      <c r="AL33" s="153">
        <f t="shared" si="1"/>
        <v>0</v>
      </c>
      <c r="AM33" s="153">
        <f t="shared" si="1"/>
        <v>0</v>
      </c>
      <c r="AN33" s="153">
        <f t="shared" si="1"/>
        <v>4</v>
      </c>
      <c r="AO33" s="153">
        <f t="shared" si="1"/>
        <v>0</v>
      </c>
      <c r="AP33" s="153">
        <f t="shared" si="1"/>
        <v>806</v>
      </c>
      <c r="AQ33" s="153">
        <f t="shared" si="1"/>
        <v>41.779999999999994</v>
      </c>
      <c r="AR33" s="153">
        <f t="shared" si="1"/>
        <v>1944</v>
      </c>
      <c r="AS33" s="153">
        <f t="shared" si="1"/>
        <v>0</v>
      </c>
      <c r="AT33" s="153">
        <f t="shared" si="1"/>
        <v>1824</v>
      </c>
      <c r="AU33" s="153">
        <f t="shared" si="1"/>
        <v>58.58</v>
      </c>
      <c r="AV33" s="163"/>
      <c r="AW33" s="163"/>
      <c r="AX33" s="163"/>
      <c r="AY33" s="163"/>
      <c r="AZ33" s="243"/>
    </row>
    <row r="34" spans="1:52" s="652" customFormat="1" ht="60">
      <c r="A34" s="182" t="s">
        <v>181</v>
      </c>
      <c r="B34" s="152" t="s">
        <v>57</v>
      </c>
      <c r="C34" s="145" t="s">
        <v>58</v>
      </c>
      <c r="D34" s="33"/>
      <c r="E34" s="33"/>
      <c r="F34" s="67">
        <v>22500</v>
      </c>
      <c r="G34" s="33">
        <v>100</v>
      </c>
      <c r="H34" s="152"/>
      <c r="I34" s="152"/>
      <c r="J34" s="152"/>
      <c r="K34" s="152"/>
      <c r="L34" s="67">
        <v>0</v>
      </c>
      <c r="M34" s="67">
        <v>0</v>
      </c>
      <c r="N34" s="67" t="s">
        <v>610</v>
      </c>
      <c r="O34" s="67">
        <v>11.1</v>
      </c>
      <c r="P34" s="655">
        <v>1470</v>
      </c>
      <c r="Q34" s="655">
        <v>0</v>
      </c>
      <c r="R34" s="655">
        <f>49*16</f>
        <v>784</v>
      </c>
      <c r="S34" s="655">
        <v>16.29</v>
      </c>
      <c r="T34" s="656"/>
      <c r="U34" s="656"/>
      <c r="V34" s="656"/>
      <c r="W34" s="656"/>
      <c r="X34" s="421">
        <v>2</v>
      </c>
      <c r="Y34" s="416"/>
      <c r="Z34" s="416">
        <v>840</v>
      </c>
      <c r="AA34" s="416">
        <v>18.2</v>
      </c>
      <c r="AB34" s="2">
        <v>860</v>
      </c>
      <c r="AC34" s="127">
        <v>955</v>
      </c>
      <c r="AD34" s="2">
        <f>'[1]Child Health'!I27*'[1]Child Health'!J27</f>
        <v>860</v>
      </c>
      <c r="AE34" s="2">
        <v>8.94</v>
      </c>
      <c r="AF34" s="127">
        <v>5900</v>
      </c>
      <c r="AG34" s="416"/>
      <c r="AH34" s="2">
        <v>5900</v>
      </c>
      <c r="AI34" s="651"/>
      <c r="AJ34" s="33">
        <v>6000</v>
      </c>
      <c r="AK34" s="651"/>
      <c r="AL34" s="68">
        <v>1400</v>
      </c>
      <c r="AM34" s="657">
        <v>8.32</v>
      </c>
      <c r="AN34" s="101"/>
      <c r="AO34" s="101"/>
      <c r="AP34" s="67">
        <v>3750</v>
      </c>
      <c r="AQ34" s="101">
        <v>130.43</v>
      </c>
      <c r="AR34" s="55">
        <v>12500</v>
      </c>
      <c r="AS34" s="145">
        <v>0</v>
      </c>
      <c r="AT34" s="55">
        <v>6400</v>
      </c>
      <c r="AU34" s="145">
        <v>84.48</v>
      </c>
      <c r="AV34" s="145" t="s">
        <v>37</v>
      </c>
      <c r="AW34" s="145">
        <v>20</v>
      </c>
      <c r="AX34" s="145" t="s">
        <v>59</v>
      </c>
      <c r="AY34" s="145" t="s">
        <v>306</v>
      </c>
      <c r="AZ34" s="116" t="s">
        <v>101</v>
      </c>
    </row>
    <row r="35" spans="1:52" s="652" customFormat="1" ht="31.5">
      <c r="A35" s="182" t="s">
        <v>183</v>
      </c>
      <c r="B35" s="152" t="s">
        <v>57</v>
      </c>
      <c r="C35" s="145" t="s">
        <v>182</v>
      </c>
      <c r="D35" s="145"/>
      <c r="E35" s="145"/>
      <c r="F35" s="145"/>
      <c r="G35" s="145"/>
      <c r="H35" s="132">
        <v>1</v>
      </c>
      <c r="I35" s="2">
        <v>50</v>
      </c>
      <c r="J35" s="2">
        <v>30</v>
      </c>
      <c r="K35" s="658">
        <v>0.6</v>
      </c>
      <c r="L35" s="67">
        <v>750</v>
      </c>
      <c r="M35" s="67">
        <v>2203</v>
      </c>
      <c r="N35" s="67" t="s">
        <v>610</v>
      </c>
      <c r="O35" s="67">
        <v>14.05</v>
      </c>
      <c r="P35" s="655">
        <v>440</v>
      </c>
      <c r="Q35" s="655">
        <v>0</v>
      </c>
      <c r="R35" s="655">
        <f>21*20</f>
        <v>420</v>
      </c>
      <c r="S35" s="655">
        <v>9.24</v>
      </c>
      <c r="T35" s="152"/>
      <c r="U35" s="152"/>
      <c r="V35" s="152"/>
      <c r="W35" s="152"/>
      <c r="X35" s="152"/>
      <c r="Y35" s="152"/>
      <c r="Z35" s="2">
        <v>375</v>
      </c>
      <c r="AA35" s="2">
        <v>19.6</v>
      </c>
      <c r="AB35" s="55">
        <v>640</v>
      </c>
      <c r="AC35" s="127">
        <v>414</v>
      </c>
      <c r="AD35" s="55">
        <f>'[1]Child Health'!I15*'[1]Child Health'!J15</f>
        <v>640</v>
      </c>
      <c r="AE35" s="55">
        <v>15.36</v>
      </c>
      <c r="AF35" s="127">
        <v>1180</v>
      </c>
      <c r="AG35" s="2"/>
      <c r="AH35" s="2">
        <v>1180</v>
      </c>
      <c r="AI35" s="2"/>
      <c r="AJ35" s="2"/>
      <c r="AK35" s="2"/>
      <c r="AL35" s="2"/>
      <c r="AM35" s="2"/>
      <c r="AN35" s="2"/>
      <c r="AO35" s="2"/>
      <c r="AP35" s="2"/>
      <c r="AQ35" s="2"/>
      <c r="AR35" s="55">
        <v>600</v>
      </c>
      <c r="AS35" s="145">
        <v>0</v>
      </c>
      <c r="AT35" s="55">
        <v>540</v>
      </c>
      <c r="AU35" s="145">
        <v>19.85</v>
      </c>
      <c r="AV35" s="145" t="s">
        <v>9</v>
      </c>
      <c r="AW35" s="145">
        <v>20</v>
      </c>
      <c r="AX35" s="145" t="s">
        <v>295</v>
      </c>
      <c r="AY35" s="145" t="s">
        <v>306</v>
      </c>
      <c r="AZ35" s="116" t="s">
        <v>296</v>
      </c>
    </row>
    <row r="36" spans="1:52" s="652" customFormat="1" ht="31.5">
      <c r="A36" s="182" t="s">
        <v>184</v>
      </c>
      <c r="B36" s="151" t="s">
        <v>52</v>
      </c>
      <c r="C36" s="145" t="s">
        <v>53</v>
      </c>
      <c r="D36" s="145"/>
      <c r="E36" s="145"/>
      <c r="F36" s="67">
        <v>1500</v>
      </c>
      <c r="G36" s="145">
        <v>1.5</v>
      </c>
      <c r="H36" s="659"/>
      <c r="I36" s="659"/>
      <c r="J36" s="659"/>
      <c r="K36" s="659"/>
      <c r="L36" s="659"/>
      <c r="M36" s="659"/>
      <c r="N36" s="659"/>
      <c r="O36" s="659"/>
      <c r="P36" s="659"/>
      <c r="Q36" s="659"/>
      <c r="R36" s="659"/>
      <c r="S36" s="659"/>
      <c r="T36" s="659"/>
      <c r="U36" s="659"/>
      <c r="V36" s="659"/>
      <c r="W36" s="659"/>
      <c r="X36" s="660"/>
      <c r="Y36" s="420"/>
      <c r="Z36" s="420">
        <v>30</v>
      </c>
      <c r="AA36" s="420">
        <v>0.5</v>
      </c>
      <c r="AB36" s="2">
        <v>80</v>
      </c>
      <c r="AC36" s="127">
        <v>0</v>
      </c>
      <c r="AD36" s="2">
        <v>80</v>
      </c>
      <c r="AE36" s="2">
        <v>0.83</v>
      </c>
      <c r="AF36" s="127">
        <v>46</v>
      </c>
      <c r="AG36" s="420"/>
      <c r="AH36" s="2">
        <v>46</v>
      </c>
      <c r="AI36" s="651">
        <v>0.56</v>
      </c>
      <c r="AJ36" s="33">
        <v>30</v>
      </c>
      <c r="AK36" s="651"/>
      <c r="AL36" s="68">
        <v>21</v>
      </c>
      <c r="AM36" s="657">
        <v>1.56</v>
      </c>
      <c r="AN36" s="145"/>
      <c r="AO36" s="145"/>
      <c r="AP36" s="67">
        <v>65</v>
      </c>
      <c r="AQ36" s="145">
        <v>0.65</v>
      </c>
      <c r="AR36" s="55"/>
      <c r="AS36" s="145"/>
      <c r="AT36" s="55"/>
      <c r="AU36" s="145"/>
      <c r="AV36" s="145" t="s">
        <v>35</v>
      </c>
      <c r="AW36" s="145">
        <v>30</v>
      </c>
      <c r="AX36" s="145" t="s">
        <v>54</v>
      </c>
      <c r="AY36" s="145" t="s">
        <v>306</v>
      </c>
      <c r="AZ36" s="116" t="s">
        <v>319</v>
      </c>
    </row>
    <row r="37" spans="1:52" s="652" customFormat="1" ht="60">
      <c r="A37" s="182" t="s">
        <v>186</v>
      </c>
      <c r="B37" s="151" t="s">
        <v>48</v>
      </c>
      <c r="C37" s="145" t="s">
        <v>95</v>
      </c>
      <c r="D37" s="145"/>
      <c r="E37" s="145"/>
      <c r="F37" s="145"/>
      <c r="G37" s="145"/>
      <c r="H37" s="658" t="s">
        <v>1152</v>
      </c>
      <c r="I37" s="91">
        <v>0</v>
      </c>
      <c r="J37" s="91">
        <v>30</v>
      </c>
      <c r="K37" s="129">
        <v>0.3</v>
      </c>
      <c r="L37" s="67">
        <v>42</v>
      </c>
      <c r="M37" s="67">
        <v>11</v>
      </c>
      <c r="N37" s="67" t="s">
        <v>610</v>
      </c>
      <c r="O37" s="67">
        <v>11</v>
      </c>
      <c r="P37" s="655">
        <v>440</v>
      </c>
      <c r="Q37" s="655">
        <v>0</v>
      </c>
      <c r="R37" s="655">
        <f>22*16</f>
        <v>352</v>
      </c>
      <c r="S37" s="655">
        <v>5.61</v>
      </c>
      <c r="T37" s="643" t="s">
        <v>1153</v>
      </c>
      <c r="U37" s="643">
        <v>0</v>
      </c>
      <c r="V37" s="645" t="s">
        <v>1154</v>
      </c>
      <c r="W37" s="645">
        <v>0.28</v>
      </c>
      <c r="X37" s="661"/>
      <c r="Y37" s="2"/>
      <c r="Z37" s="2">
        <v>870</v>
      </c>
      <c r="AA37" s="2">
        <v>10.15</v>
      </c>
      <c r="AB37" s="2">
        <v>1200</v>
      </c>
      <c r="AC37" s="127">
        <v>0</v>
      </c>
      <c r="AD37" s="2">
        <v>1200</v>
      </c>
      <c r="AE37" s="2">
        <v>14.92</v>
      </c>
      <c r="AF37" s="127">
        <v>2950</v>
      </c>
      <c r="AG37" s="2"/>
      <c r="AH37" s="2">
        <v>2950</v>
      </c>
      <c r="AI37" s="2">
        <v>72.69</v>
      </c>
      <c r="AJ37" s="2"/>
      <c r="AK37" s="2"/>
      <c r="AL37" s="68">
        <v>240</v>
      </c>
      <c r="AM37" s="662">
        <v>3.7</v>
      </c>
      <c r="AN37" s="2"/>
      <c r="AO37" s="2"/>
      <c r="AP37" s="2"/>
      <c r="AQ37" s="2"/>
      <c r="AR37" s="55">
        <v>10</v>
      </c>
      <c r="AS37" s="145">
        <v>0</v>
      </c>
      <c r="AT37" s="55">
        <v>1200</v>
      </c>
      <c r="AU37" s="145">
        <v>27</v>
      </c>
      <c r="AV37" s="145" t="s">
        <v>37</v>
      </c>
      <c r="AW37" s="145">
        <v>20</v>
      </c>
      <c r="AX37" s="145" t="s">
        <v>297</v>
      </c>
      <c r="AY37" s="145" t="s">
        <v>306</v>
      </c>
      <c r="AZ37" s="116" t="s">
        <v>101</v>
      </c>
    </row>
    <row r="38" spans="1:52" s="652" customFormat="1" ht="31.5">
      <c r="A38" s="182" t="s">
        <v>185</v>
      </c>
      <c r="B38" s="151" t="s">
        <v>180</v>
      </c>
      <c r="C38" s="145" t="s">
        <v>55</v>
      </c>
      <c r="D38" s="145"/>
      <c r="E38" s="145"/>
      <c r="F38" s="145"/>
      <c r="G38" s="145"/>
      <c r="H38" s="152"/>
      <c r="I38" s="152"/>
      <c r="J38" s="152"/>
      <c r="K38" s="152"/>
      <c r="L38" s="67">
        <v>44</v>
      </c>
      <c r="M38" s="67">
        <v>5</v>
      </c>
      <c r="N38" s="67" t="s">
        <v>610</v>
      </c>
      <c r="O38" s="67">
        <v>4.45</v>
      </c>
      <c r="P38" s="655">
        <v>420</v>
      </c>
      <c r="Q38" s="655">
        <v>0</v>
      </c>
      <c r="R38" s="655">
        <f>21*'[3]Child Health'!J28</f>
        <v>882</v>
      </c>
      <c r="S38" s="655">
        <v>2.32</v>
      </c>
      <c r="T38" s="152"/>
      <c r="U38" s="152"/>
      <c r="V38" s="152"/>
      <c r="W38" s="152"/>
      <c r="X38" s="152"/>
      <c r="Y38" s="152"/>
      <c r="Z38" s="152"/>
      <c r="AA38" s="152"/>
      <c r="AB38" s="2">
        <v>420</v>
      </c>
      <c r="AC38" s="127">
        <v>0</v>
      </c>
      <c r="AD38" s="2">
        <v>420</v>
      </c>
      <c r="AE38" s="2">
        <v>4.37</v>
      </c>
      <c r="AF38" s="127">
        <v>150</v>
      </c>
      <c r="AG38" s="152"/>
      <c r="AH38" s="2">
        <v>150</v>
      </c>
      <c r="AI38" s="2"/>
      <c r="AJ38" s="2"/>
      <c r="AK38" s="2"/>
      <c r="AL38" s="68">
        <v>130</v>
      </c>
      <c r="AM38" s="657">
        <v>13.41</v>
      </c>
      <c r="AN38" s="2"/>
      <c r="AO38" s="2"/>
      <c r="AP38" s="2"/>
      <c r="AQ38" s="2"/>
      <c r="AR38" s="145"/>
      <c r="AS38" s="145"/>
      <c r="AT38" s="145"/>
      <c r="AU38" s="145"/>
      <c r="AV38" s="145" t="s">
        <v>35</v>
      </c>
      <c r="AW38" s="145">
        <v>20</v>
      </c>
      <c r="AX38" s="145" t="s">
        <v>56</v>
      </c>
      <c r="AY38" s="145" t="s">
        <v>306</v>
      </c>
      <c r="AZ38" s="116" t="s">
        <v>101</v>
      </c>
    </row>
    <row r="39" spans="1:52" s="652" customFormat="1" ht="15.75">
      <c r="A39" s="182" t="s">
        <v>883</v>
      </c>
      <c r="B39" s="151" t="s">
        <v>1155</v>
      </c>
      <c r="C39" s="55" t="s">
        <v>575</v>
      </c>
      <c r="D39" s="55"/>
      <c r="E39" s="55"/>
      <c r="F39" s="55"/>
      <c r="G39" s="55"/>
      <c r="H39" s="103"/>
      <c r="I39" s="103"/>
      <c r="J39" s="103"/>
      <c r="K39" s="103"/>
      <c r="L39" s="103"/>
      <c r="M39" s="103"/>
      <c r="N39" s="103"/>
      <c r="O39" s="103"/>
      <c r="P39" s="655">
        <v>42</v>
      </c>
      <c r="Q39" s="655">
        <v>0</v>
      </c>
      <c r="R39" s="655" t="s">
        <v>575</v>
      </c>
      <c r="S39" s="655">
        <v>8.81</v>
      </c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55">
        <v>81</v>
      </c>
      <c r="AS39" s="145">
        <v>0</v>
      </c>
      <c r="AT39" s="145"/>
      <c r="AU39" s="145"/>
      <c r="AV39" s="145"/>
      <c r="AW39" s="145"/>
      <c r="AX39" s="145"/>
      <c r="AY39" s="145"/>
      <c r="AZ39" s="119" t="s">
        <v>1156</v>
      </c>
    </row>
    <row r="40" spans="1:52" s="652" customFormat="1" ht="30">
      <c r="A40" s="182" t="s">
        <v>570</v>
      </c>
      <c r="B40" s="1173" t="s">
        <v>232</v>
      </c>
      <c r="C40" s="2" t="s">
        <v>571</v>
      </c>
      <c r="D40" s="145"/>
      <c r="E40" s="68"/>
      <c r="F40" s="2">
        <v>2220</v>
      </c>
      <c r="G40" s="68">
        <v>111</v>
      </c>
      <c r="H40" s="92"/>
      <c r="I40" s="92"/>
      <c r="J40" s="92"/>
      <c r="K40" s="92"/>
      <c r="L40" s="203">
        <v>0</v>
      </c>
      <c r="M40" s="203">
        <v>0</v>
      </c>
      <c r="N40" s="203">
        <v>2240</v>
      </c>
      <c r="O40" s="203">
        <v>88.35</v>
      </c>
      <c r="P40" s="92"/>
      <c r="Q40" s="92"/>
      <c r="R40" s="92"/>
      <c r="S40" s="92"/>
      <c r="T40" s="92"/>
      <c r="U40" s="92"/>
      <c r="V40" s="92"/>
      <c r="W40" s="92"/>
      <c r="X40" s="145">
        <v>1500</v>
      </c>
      <c r="Y40" s="2"/>
      <c r="Z40" s="2">
        <v>930</v>
      </c>
      <c r="AA40" s="2">
        <v>15.38</v>
      </c>
      <c r="AB40" s="55">
        <v>4500</v>
      </c>
      <c r="AC40" s="663">
        <v>1516</v>
      </c>
      <c r="AD40" s="55">
        <f>'[1]Child Health'!I31*'[1]Child Health'!J31</f>
        <v>4920</v>
      </c>
      <c r="AE40" s="664">
        <v>10.4</v>
      </c>
      <c r="AF40" s="91">
        <v>1088</v>
      </c>
      <c r="AG40" s="91">
        <v>752</v>
      </c>
      <c r="AH40" s="2">
        <v>704</v>
      </c>
      <c r="AI40" s="127">
        <v>27.39</v>
      </c>
      <c r="AJ40" s="68">
        <v>770</v>
      </c>
      <c r="AK40" s="68">
        <v>0</v>
      </c>
      <c r="AL40" s="68">
        <v>35</v>
      </c>
      <c r="AM40" s="145">
        <v>1.34</v>
      </c>
      <c r="AN40" s="145"/>
      <c r="AO40" s="145"/>
      <c r="AP40" s="145">
        <v>1230</v>
      </c>
      <c r="AQ40" s="145">
        <v>76.06</v>
      </c>
      <c r="AR40" s="145">
        <v>2528</v>
      </c>
      <c r="AS40" s="145">
        <v>0</v>
      </c>
      <c r="AT40" s="145">
        <v>2528</v>
      </c>
      <c r="AU40" s="145">
        <v>161.16</v>
      </c>
      <c r="AV40" s="145" t="s">
        <v>71</v>
      </c>
      <c r="AW40" s="145"/>
      <c r="AX40" s="145" t="s">
        <v>573</v>
      </c>
      <c r="AY40" s="55" t="s">
        <v>548</v>
      </c>
      <c r="AZ40" s="119" t="s">
        <v>306</v>
      </c>
    </row>
    <row r="41" spans="1:52" s="652" customFormat="1" ht="60">
      <c r="A41" s="1184" t="s">
        <v>231</v>
      </c>
      <c r="B41" s="1174"/>
      <c r="C41" s="145" t="s">
        <v>159</v>
      </c>
      <c r="D41" s="145"/>
      <c r="E41" s="68"/>
      <c r="F41" s="2">
        <v>240</v>
      </c>
      <c r="G41" s="68">
        <v>96.16</v>
      </c>
      <c r="H41" s="91">
        <v>30</v>
      </c>
      <c r="I41" s="91">
        <v>0</v>
      </c>
      <c r="J41" s="91">
        <v>30</v>
      </c>
      <c r="K41" s="91">
        <v>4.68</v>
      </c>
      <c r="L41" s="665">
        <v>750</v>
      </c>
      <c r="M41" s="665">
        <v>1310</v>
      </c>
      <c r="N41" s="203" t="s">
        <v>610</v>
      </c>
      <c r="O41" s="665">
        <v>18.6</v>
      </c>
      <c r="P41" s="68">
        <v>210</v>
      </c>
      <c r="Q41" s="68">
        <v>0</v>
      </c>
      <c r="R41" s="91">
        <v>1</v>
      </c>
      <c r="S41" s="68">
        <v>15.12</v>
      </c>
      <c r="T41" s="152"/>
      <c r="U41" s="152"/>
      <c r="V41" s="152"/>
      <c r="W41" s="152"/>
      <c r="X41" s="152"/>
      <c r="Y41" s="152"/>
      <c r="Z41" s="2">
        <v>120</v>
      </c>
      <c r="AA41" s="2">
        <v>39.71</v>
      </c>
      <c r="AB41" s="1128">
        <v>240</v>
      </c>
      <c r="AC41" s="1185">
        <v>0</v>
      </c>
      <c r="AD41" s="1128">
        <v>240</v>
      </c>
      <c r="AE41" s="1128">
        <v>16</v>
      </c>
      <c r="AF41" s="91">
        <v>32</v>
      </c>
      <c r="AG41" s="91">
        <v>0</v>
      </c>
      <c r="AH41" s="2"/>
      <c r="AI41" s="127">
        <v>3.43</v>
      </c>
      <c r="AJ41" s="1186" t="s">
        <v>704</v>
      </c>
      <c r="AK41" s="1187"/>
      <c r="AL41" s="1031" t="s">
        <v>1157</v>
      </c>
      <c r="AM41" s="1031">
        <v>72.8</v>
      </c>
      <c r="AN41" s="145"/>
      <c r="AO41" s="145"/>
      <c r="AP41" s="145">
        <v>150</v>
      </c>
      <c r="AQ41" s="145">
        <v>75</v>
      </c>
      <c r="AR41" s="91"/>
      <c r="AS41" s="91"/>
      <c r="AT41" s="91"/>
      <c r="AU41" s="91"/>
      <c r="AV41" s="145" t="s">
        <v>233</v>
      </c>
      <c r="AW41" s="145" t="s">
        <v>1158</v>
      </c>
      <c r="AX41" s="145" t="s">
        <v>320</v>
      </c>
      <c r="AY41" s="145" t="s">
        <v>306</v>
      </c>
      <c r="AZ41" s="116" t="s">
        <v>323</v>
      </c>
    </row>
    <row r="42" spans="1:52" s="652" customFormat="1" ht="60">
      <c r="A42" s="1184"/>
      <c r="B42" s="1174"/>
      <c r="C42" s="145" t="s">
        <v>234</v>
      </c>
      <c r="D42" s="145"/>
      <c r="E42" s="145"/>
      <c r="F42" s="145"/>
      <c r="G42" s="145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128"/>
      <c r="AC42" s="1185"/>
      <c r="AD42" s="1128"/>
      <c r="AE42" s="1128"/>
      <c r="AF42" s="152"/>
      <c r="AG42" s="152"/>
      <c r="AH42" s="152"/>
      <c r="AI42" s="152"/>
      <c r="AJ42" s="1188"/>
      <c r="AK42" s="1189"/>
      <c r="AL42" s="1032"/>
      <c r="AM42" s="1032"/>
      <c r="AN42" s="152"/>
      <c r="AO42" s="152"/>
      <c r="AP42" s="152"/>
      <c r="AQ42" s="152"/>
      <c r="AR42" s="145"/>
      <c r="AS42" s="145"/>
      <c r="AT42" s="145"/>
      <c r="AU42" s="145"/>
      <c r="AV42" s="145" t="s">
        <v>37</v>
      </c>
      <c r="AW42" s="145">
        <v>3</v>
      </c>
      <c r="AX42" s="145" t="s">
        <v>13</v>
      </c>
      <c r="AY42" s="145" t="s">
        <v>306</v>
      </c>
      <c r="AZ42" s="116" t="s">
        <v>324</v>
      </c>
    </row>
    <row r="43" spans="1:52" s="652" customFormat="1" ht="30">
      <c r="A43" s="1184"/>
      <c r="B43" s="1174"/>
      <c r="C43" s="145" t="s">
        <v>235</v>
      </c>
      <c r="D43" s="145"/>
      <c r="E43" s="145"/>
      <c r="F43" s="145"/>
      <c r="G43" s="145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188"/>
      <c r="AK43" s="1189"/>
      <c r="AL43" s="1032"/>
      <c r="AM43" s="1032"/>
      <c r="AN43" s="152"/>
      <c r="AO43" s="152"/>
      <c r="AP43" s="152"/>
      <c r="AQ43" s="152"/>
      <c r="AR43" s="145"/>
      <c r="AS43" s="145"/>
      <c r="AT43" s="145"/>
      <c r="AU43" s="145"/>
      <c r="AV43" s="145" t="s">
        <v>37</v>
      </c>
      <c r="AW43" s="145">
        <v>15</v>
      </c>
      <c r="AX43" s="145" t="s">
        <v>311</v>
      </c>
      <c r="AY43" s="145" t="s">
        <v>306</v>
      </c>
      <c r="AZ43" s="116" t="s">
        <v>324</v>
      </c>
    </row>
    <row r="44" spans="1:52" s="652" customFormat="1" ht="30">
      <c r="A44" s="1184"/>
      <c r="B44" s="1175"/>
      <c r="C44" s="145" t="s">
        <v>236</v>
      </c>
      <c r="D44" s="145"/>
      <c r="E44" s="145"/>
      <c r="F44" s="145"/>
      <c r="G44" s="145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190"/>
      <c r="AK44" s="1191"/>
      <c r="AL44" s="1033"/>
      <c r="AM44" s="1033"/>
      <c r="AN44" s="152"/>
      <c r="AO44" s="152"/>
      <c r="AP44" s="152"/>
      <c r="AQ44" s="152"/>
      <c r="AR44" s="145"/>
      <c r="AS44" s="145"/>
      <c r="AT44" s="145"/>
      <c r="AU44" s="145"/>
      <c r="AV44" s="145" t="s">
        <v>9</v>
      </c>
      <c r="AW44" s="145">
        <v>40</v>
      </c>
      <c r="AX44" s="145" t="s">
        <v>13</v>
      </c>
      <c r="AY44" s="145" t="s">
        <v>306</v>
      </c>
      <c r="AZ44" s="116" t="s">
        <v>324</v>
      </c>
    </row>
    <row r="45" spans="1:52" s="652" customFormat="1" ht="15.75">
      <c r="A45" s="1192" t="s">
        <v>237</v>
      </c>
      <c r="B45" s="1160" t="s">
        <v>241</v>
      </c>
      <c r="C45" s="145" t="s">
        <v>242</v>
      </c>
      <c r="D45" s="1031">
        <v>417</v>
      </c>
      <c r="E45" s="1031">
        <v>0</v>
      </c>
      <c r="F45" s="1031">
        <v>1221</v>
      </c>
      <c r="G45" s="1031">
        <v>47.7</v>
      </c>
      <c r="H45" s="1040">
        <v>30</v>
      </c>
      <c r="I45" s="1040">
        <v>0</v>
      </c>
      <c r="J45" s="1040">
        <v>30</v>
      </c>
      <c r="K45" s="1194">
        <v>0.4</v>
      </c>
      <c r="L45" s="1196">
        <v>0</v>
      </c>
      <c r="M45" s="1196">
        <v>0</v>
      </c>
      <c r="N45" s="1196">
        <v>2000</v>
      </c>
      <c r="O45" s="1057">
        <v>3.2</v>
      </c>
      <c r="P45" s="410"/>
      <c r="Q45" s="410"/>
      <c r="R45" s="410"/>
      <c r="S45" s="410"/>
      <c r="T45" s="410"/>
      <c r="U45" s="410"/>
      <c r="V45" s="410"/>
      <c r="W45" s="410"/>
      <c r="X45" s="1198">
        <v>350</v>
      </c>
      <c r="Y45" s="1200"/>
      <c r="Z45" s="1031">
        <v>350</v>
      </c>
      <c r="AA45" s="1198">
        <v>4.53</v>
      </c>
      <c r="AB45" s="1202">
        <v>2169</v>
      </c>
      <c r="AC45" s="1204">
        <v>2637</v>
      </c>
      <c r="AD45" s="1202">
        <v>2169</v>
      </c>
      <c r="AE45" s="1202">
        <v>10.88</v>
      </c>
      <c r="AF45" s="416"/>
      <c r="AG45" s="416"/>
      <c r="AH45" s="416"/>
      <c r="AI45" s="416"/>
      <c r="AJ45" s="1186" t="s">
        <v>704</v>
      </c>
      <c r="AK45" s="1187"/>
      <c r="AL45" s="1031" t="s">
        <v>1157</v>
      </c>
      <c r="AM45" s="1031">
        <v>45.14</v>
      </c>
      <c r="AN45" s="145"/>
      <c r="AO45" s="145"/>
      <c r="AP45" s="1031">
        <v>300</v>
      </c>
      <c r="AQ45" s="1031">
        <v>10.8</v>
      </c>
      <c r="AR45" s="1031">
        <v>780</v>
      </c>
      <c r="AS45" s="1031">
        <v>0</v>
      </c>
      <c r="AT45" s="1031">
        <v>780</v>
      </c>
      <c r="AU45" s="1031">
        <v>19.86</v>
      </c>
      <c r="AV45" s="145" t="s">
        <v>301</v>
      </c>
      <c r="AW45" s="1031" t="s">
        <v>321</v>
      </c>
      <c r="AX45" s="1031" t="s">
        <v>13</v>
      </c>
      <c r="AY45" s="1031" t="s">
        <v>306</v>
      </c>
      <c r="AZ45" s="1177" t="s">
        <v>322</v>
      </c>
    </row>
    <row r="46" spans="1:52" s="652" customFormat="1" ht="15.75">
      <c r="A46" s="1193"/>
      <c r="B46" s="1160"/>
      <c r="C46" s="145" t="s">
        <v>238</v>
      </c>
      <c r="D46" s="1032"/>
      <c r="E46" s="1032"/>
      <c r="F46" s="1032"/>
      <c r="G46" s="1032"/>
      <c r="H46" s="1041"/>
      <c r="I46" s="1041"/>
      <c r="J46" s="1041"/>
      <c r="K46" s="1195"/>
      <c r="L46" s="1197"/>
      <c r="M46" s="1197"/>
      <c r="N46" s="1197"/>
      <c r="O46" s="1058"/>
      <c r="P46" s="411"/>
      <c r="Q46" s="411"/>
      <c r="R46" s="411"/>
      <c r="S46" s="411"/>
      <c r="T46" s="411"/>
      <c r="U46" s="411"/>
      <c r="V46" s="411"/>
      <c r="W46" s="411"/>
      <c r="X46" s="1199"/>
      <c r="Y46" s="1201"/>
      <c r="Z46" s="1032"/>
      <c r="AA46" s="1199"/>
      <c r="AB46" s="1203"/>
      <c r="AC46" s="1205"/>
      <c r="AD46" s="1203"/>
      <c r="AE46" s="1203"/>
      <c r="AF46" s="152"/>
      <c r="AG46" s="152"/>
      <c r="AH46" s="152"/>
      <c r="AI46" s="152"/>
      <c r="AJ46" s="1188"/>
      <c r="AK46" s="1189"/>
      <c r="AL46" s="1032"/>
      <c r="AM46" s="1032"/>
      <c r="AN46" s="411"/>
      <c r="AO46" s="411"/>
      <c r="AP46" s="1032"/>
      <c r="AQ46" s="1032"/>
      <c r="AR46" s="1032"/>
      <c r="AS46" s="1032"/>
      <c r="AT46" s="1032"/>
      <c r="AU46" s="1032"/>
      <c r="AV46" s="145" t="s">
        <v>301</v>
      </c>
      <c r="AW46" s="1032"/>
      <c r="AX46" s="1032"/>
      <c r="AY46" s="1032"/>
      <c r="AZ46" s="1178"/>
    </row>
    <row r="47" spans="1:52" s="652" customFormat="1" ht="15.75">
      <c r="A47" s="1193"/>
      <c r="B47" s="1160"/>
      <c r="C47" s="145" t="s">
        <v>239</v>
      </c>
      <c r="D47" s="1032"/>
      <c r="E47" s="1032"/>
      <c r="F47" s="1032"/>
      <c r="G47" s="1032"/>
      <c r="H47" s="1041"/>
      <c r="I47" s="1041"/>
      <c r="J47" s="1041"/>
      <c r="K47" s="1195"/>
      <c r="L47" s="1197"/>
      <c r="M47" s="1197"/>
      <c r="N47" s="1197"/>
      <c r="O47" s="1058"/>
      <c r="P47" s="411"/>
      <c r="Q47" s="411"/>
      <c r="R47" s="411"/>
      <c r="S47" s="411"/>
      <c r="T47" s="411"/>
      <c r="U47" s="411"/>
      <c r="V47" s="411"/>
      <c r="W47" s="411"/>
      <c r="X47" s="1199"/>
      <c r="Y47" s="1201"/>
      <c r="Z47" s="1032"/>
      <c r="AA47" s="1199"/>
      <c r="AB47" s="1203"/>
      <c r="AC47" s="1205"/>
      <c r="AD47" s="1203"/>
      <c r="AE47" s="1203"/>
      <c r="AF47" s="152"/>
      <c r="AG47" s="152"/>
      <c r="AH47" s="152"/>
      <c r="AI47" s="152"/>
      <c r="AJ47" s="1188"/>
      <c r="AK47" s="1189"/>
      <c r="AL47" s="1032"/>
      <c r="AM47" s="1032"/>
      <c r="AN47" s="411"/>
      <c r="AO47" s="411"/>
      <c r="AP47" s="1032"/>
      <c r="AQ47" s="1032"/>
      <c r="AR47" s="1032"/>
      <c r="AS47" s="1032"/>
      <c r="AT47" s="1032"/>
      <c r="AU47" s="1032"/>
      <c r="AV47" s="145" t="s">
        <v>301</v>
      </c>
      <c r="AW47" s="1032"/>
      <c r="AX47" s="1032"/>
      <c r="AY47" s="1032"/>
      <c r="AZ47" s="1178"/>
    </row>
    <row r="48" spans="1:52" s="652" customFormat="1" ht="15.75">
      <c r="A48" s="1193"/>
      <c r="B48" s="1160"/>
      <c r="C48" s="145" t="s">
        <v>240</v>
      </c>
      <c r="D48" s="1032"/>
      <c r="E48" s="1032"/>
      <c r="F48" s="1032"/>
      <c r="G48" s="1032"/>
      <c r="H48" s="1041"/>
      <c r="I48" s="1041"/>
      <c r="J48" s="1041"/>
      <c r="K48" s="1195"/>
      <c r="L48" s="1197"/>
      <c r="M48" s="1197"/>
      <c r="N48" s="1197"/>
      <c r="O48" s="1058"/>
      <c r="P48" s="411"/>
      <c r="Q48" s="411"/>
      <c r="R48" s="411"/>
      <c r="S48" s="411"/>
      <c r="T48" s="411"/>
      <c r="U48" s="411"/>
      <c r="V48" s="411"/>
      <c r="W48" s="411"/>
      <c r="X48" s="1199"/>
      <c r="Y48" s="1201"/>
      <c r="Z48" s="1032"/>
      <c r="AA48" s="1199"/>
      <c r="AB48" s="1203"/>
      <c r="AC48" s="1205"/>
      <c r="AD48" s="1203"/>
      <c r="AE48" s="1203"/>
      <c r="AF48" s="152"/>
      <c r="AG48" s="152"/>
      <c r="AH48" s="152"/>
      <c r="AI48" s="152"/>
      <c r="AJ48" s="1188"/>
      <c r="AK48" s="1189"/>
      <c r="AL48" s="1032"/>
      <c r="AM48" s="1032"/>
      <c r="AN48" s="411"/>
      <c r="AO48" s="411"/>
      <c r="AP48" s="1033"/>
      <c r="AQ48" s="1033"/>
      <c r="AR48" s="1032"/>
      <c r="AS48" s="1032"/>
      <c r="AT48" s="1032"/>
      <c r="AU48" s="1032"/>
      <c r="AV48" s="145" t="s">
        <v>301</v>
      </c>
      <c r="AW48" s="1033"/>
      <c r="AX48" s="1033"/>
      <c r="AY48" s="1033"/>
      <c r="AZ48" s="1179"/>
    </row>
    <row r="49" spans="1:52" s="652" customFormat="1" ht="15.75">
      <c r="A49" s="1193"/>
      <c r="B49" s="1160" t="s">
        <v>246</v>
      </c>
      <c r="C49" s="145" t="s">
        <v>243</v>
      </c>
      <c r="D49" s="1032"/>
      <c r="E49" s="1032"/>
      <c r="F49" s="1032"/>
      <c r="G49" s="1032"/>
      <c r="H49" s="1041"/>
      <c r="I49" s="1041"/>
      <c r="J49" s="1041"/>
      <c r="K49" s="1195"/>
      <c r="L49" s="1197"/>
      <c r="M49" s="1197"/>
      <c r="N49" s="1197"/>
      <c r="O49" s="1058"/>
      <c r="P49" s="411"/>
      <c r="Q49" s="411"/>
      <c r="R49" s="411"/>
      <c r="S49" s="411"/>
      <c r="T49" s="411"/>
      <c r="U49" s="411"/>
      <c r="V49" s="411"/>
      <c r="W49" s="411"/>
      <c r="X49" s="1199"/>
      <c r="Y49" s="1201"/>
      <c r="Z49" s="1032"/>
      <c r="AA49" s="1199"/>
      <c r="AB49" s="1203"/>
      <c r="AC49" s="1205"/>
      <c r="AD49" s="1203"/>
      <c r="AE49" s="1203"/>
      <c r="AF49" s="152"/>
      <c r="AG49" s="152"/>
      <c r="AH49" s="152"/>
      <c r="AI49" s="152"/>
      <c r="AJ49" s="1188"/>
      <c r="AK49" s="1189"/>
      <c r="AL49" s="1032"/>
      <c r="AM49" s="1032"/>
      <c r="AN49" s="411"/>
      <c r="AO49" s="411"/>
      <c r="AP49" s="411"/>
      <c r="AQ49" s="411"/>
      <c r="AR49" s="1032"/>
      <c r="AS49" s="1032"/>
      <c r="AT49" s="1032"/>
      <c r="AU49" s="1032"/>
      <c r="AV49" s="145" t="s">
        <v>301</v>
      </c>
      <c r="AW49" s="1031" t="s">
        <v>549</v>
      </c>
      <c r="AX49" s="145" t="s">
        <v>311</v>
      </c>
      <c r="AY49" s="145" t="s">
        <v>306</v>
      </c>
      <c r="AZ49" s="116" t="s">
        <v>325</v>
      </c>
    </row>
    <row r="50" spans="1:52" s="652" customFormat="1" ht="15.75">
      <c r="A50" s="1193"/>
      <c r="B50" s="1160"/>
      <c r="C50" s="145" t="s">
        <v>244</v>
      </c>
      <c r="D50" s="1032"/>
      <c r="E50" s="1032"/>
      <c r="F50" s="1032"/>
      <c r="G50" s="1032"/>
      <c r="H50" s="1041"/>
      <c r="I50" s="1041"/>
      <c r="J50" s="1041"/>
      <c r="K50" s="1195"/>
      <c r="L50" s="1197"/>
      <c r="M50" s="1197"/>
      <c r="N50" s="1197"/>
      <c r="O50" s="1058"/>
      <c r="P50" s="411"/>
      <c r="Q50" s="411"/>
      <c r="R50" s="411"/>
      <c r="S50" s="411"/>
      <c r="T50" s="411"/>
      <c r="U50" s="411"/>
      <c r="V50" s="411"/>
      <c r="W50" s="411"/>
      <c r="X50" s="1199"/>
      <c r="Y50" s="1201"/>
      <c r="Z50" s="1032"/>
      <c r="AA50" s="1199"/>
      <c r="AB50" s="1203"/>
      <c r="AC50" s="1205"/>
      <c r="AD50" s="1203"/>
      <c r="AE50" s="1203"/>
      <c r="AF50" s="152"/>
      <c r="AG50" s="152"/>
      <c r="AH50" s="152"/>
      <c r="AI50" s="152"/>
      <c r="AJ50" s="1188"/>
      <c r="AK50" s="1189"/>
      <c r="AL50" s="1032"/>
      <c r="AM50" s="1032"/>
      <c r="AN50" s="411"/>
      <c r="AO50" s="411"/>
      <c r="AP50" s="411"/>
      <c r="AQ50" s="411"/>
      <c r="AR50" s="1032"/>
      <c r="AS50" s="1032"/>
      <c r="AT50" s="1032"/>
      <c r="AU50" s="1032"/>
      <c r="AV50" s="145" t="s">
        <v>301</v>
      </c>
      <c r="AW50" s="1033"/>
      <c r="AX50" s="145" t="s">
        <v>311</v>
      </c>
      <c r="AY50" s="145" t="s">
        <v>306</v>
      </c>
      <c r="AZ50" s="116" t="s">
        <v>325</v>
      </c>
    </row>
    <row r="51" spans="1:52" s="652" customFormat="1" ht="45">
      <c r="A51" s="187" t="s">
        <v>741</v>
      </c>
      <c r="B51" s="103" t="s">
        <v>742</v>
      </c>
      <c r="C51" s="204" t="s">
        <v>743</v>
      </c>
      <c r="D51" s="145">
        <v>14820</v>
      </c>
      <c r="E51" s="68">
        <v>0</v>
      </c>
      <c r="F51" s="2">
        <v>14820</v>
      </c>
      <c r="G51" s="68">
        <v>52.54</v>
      </c>
      <c r="H51" s="91">
        <v>15</v>
      </c>
      <c r="I51" s="91">
        <v>0</v>
      </c>
      <c r="J51" s="91">
        <v>15</v>
      </c>
      <c r="K51" s="129">
        <v>0.3</v>
      </c>
      <c r="L51" s="665">
        <v>125</v>
      </c>
      <c r="M51" s="665">
        <v>112</v>
      </c>
      <c r="N51" s="665">
        <v>4640</v>
      </c>
      <c r="O51" s="665">
        <v>14.5</v>
      </c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145"/>
      <c r="AO51" s="145"/>
      <c r="AP51" s="145">
        <v>9235</v>
      </c>
      <c r="AQ51" s="145">
        <v>60.59</v>
      </c>
      <c r="AR51" s="145">
        <v>17179</v>
      </c>
      <c r="AS51" s="145">
        <v>0</v>
      </c>
      <c r="AT51" s="145">
        <v>17179</v>
      </c>
      <c r="AU51" s="145">
        <v>97.78</v>
      </c>
      <c r="AV51" s="55" t="s">
        <v>15</v>
      </c>
      <c r="AW51" s="148"/>
      <c r="AX51" s="55" t="s">
        <v>64</v>
      </c>
      <c r="AY51" s="203" t="s">
        <v>306</v>
      </c>
      <c r="AZ51" s="236" t="s">
        <v>306</v>
      </c>
    </row>
    <row r="52" spans="1:52" s="652" customFormat="1" ht="32.25" thickBot="1">
      <c r="A52" s="407" t="s">
        <v>744</v>
      </c>
      <c r="B52" s="403" t="s">
        <v>745</v>
      </c>
      <c r="C52" s="666" t="s">
        <v>746</v>
      </c>
      <c r="D52" s="126">
        <v>18844</v>
      </c>
      <c r="E52" s="74">
        <v>0</v>
      </c>
      <c r="F52" s="304">
        <v>18778</v>
      </c>
      <c r="G52" s="74">
        <v>61.46</v>
      </c>
      <c r="H52" s="305">
        <v>0</v>
      </c>
      <c r="I52" s="305">
        <v>0</v>
      </c>
      <c r="J52" s="305">
        <v>1262</v>
      </c>
      <c r="K52" s="305">
        <v>0.58</v>
      </c>
      <c r="L52" s="667">
        <v>12215</v>
      </c>
      <c r="M52" s="667">
        <v>0</v>
      </c>
      <c r="N52" s="667">
        <v>3000</v>
      </c>
      <c r="O52" s="667">
        <v>60</v>
      </c>
      <c r="P52" s="666"/>
      <c r="Q52" s="666"/>
      <c r="R52" s="666"/>
      <c r="S52" s="666"/>
      <c r="T52" s="666"/>
      <c r="U52" s="666"/>
      <c r="V52" s="666"/>
      <c r="W52" s="666"/>
      <c r="X52" s="666"/>
      <c r="Y52" s="666"/>
      <c r="Z52" s="666"/>
      <c r="AA52" s="666"/>
      <c r="AB52" s="666"/>
      <c r="AC52" s="666"/>
      <c r="AD52" s="666"/>
      <c r="AE52" s="666"/>
      <c r="AF52" s="666"/>
      <c r="AG52" s="666"/>
      <c r="AH52" s="666"/>
      <c r="AI52" s="666"/>
      <c r="AJ52" s="666"/>
      <c r="AK52" s="666"/>
      <c r="AL52" s="666"/>
      <c r="AM52" s="666"/>
      <c r="AN52" s="666"/>
      <c r="AO52" s="666"/>
      <c r="AP52" s="666"/>
      <c r="AQ52" s="666"/>
      <c r="AR52" s="126"/>
      <c r="AS52" s="126"/>
      <c r="AT52" s="126"/>
      <c r="AU52" s="126"/>
      <c r="AV52" s="56" t="s">
        <v>747</v>
      </c>
      <c r="AW52" s="126"/>
      <c r="AX52" s="56" t="s">
        <v>748</v>
      </c>
      <c r="AY52" s="668" t="s">
        <v>306</v>
      </c>
      <c r="AZ52" s="669" t="s">
        <v>306</v>
      </c>
    </row>
    <row r="53" spans="1:52" s="18" customFormat="1" ht="16.5" thickBot="1">
      <c r="A53" s="670"/>
      <c r="B53" s="1035" t="s">
        <v>30</v>
      </c>
      <c r="C53" s="1035"/>
      <c r="D53" s="269">
        <f>SUM(D34:D52)</f>
        <v>34081</v>
      </c>
      <c r="E53" s="269">
        <f aca="true" t="shared" si="2" ref="E53:AU53">SUM(E34:E52)</f>
        <v>0</v>
      </c>
      <c r="F53" s="269">
        <f t="shared" si="2"/>
        <v>61279</v>
      </c>
      <c r="G53" s="269">
        <f t="shared" si="2"/>
        <v>470.35999999999996</v>
      </c>
      <c r="H53" s="269">
        <f t="shared" si="2"/>
        <v>76</v>
      </c>
      <c r="I53" s="269">
        <f t="shared" si="2"/>
        <v>50</v>
      </c>
      <c r="J53" s="269">
        <f t="shared" si="2"/>
        <v>1397</v>
      </c>
      <c r="K53" s="269">
        <f t="shared" si="2"/>
        <v>6.86</v>
      </c>
      <c r="L53" s="269">
        <f t="shared" si="2"/>
        <v>13926</v>
      </c>
      <c r="M53" s="269">
        <f t="shared" si="2"/>
        <v>3641</v>
      </c>
      <c r="N53" s="269">
        <f t="shared" si="2"/>
        <v>11880</v>
      </c>
      <c r="O53" s="269">
        <f t="shared" si="2"/>
        <v>225.24999999999997</v>
      </c>
      <c r="P53" s="269">
        <f t="shared" si="2"/>
        <v>3022</v>
      </c>
      <c r="Q53" s="269">
        <f t="shared" si="2"/>
        <v>0</v>
      </c>
      <c r="R53" s="269">
        <f t="shared" si="2"/>
        <v>2439</v>
      </c>
      <c r="S53" s="269">
        <f t="shared" si="2"/>
        <v>57.39</v>
      </c>
      <c r="T53" s="269">
        <f t="shared" si="2"/>
        <v>0</v>
      </c>
      <c r="U53" s="269">
        <f t="shared" si="2"/>
        <v>0</v>
      </c>
      <c r="V53" s="269">
        <f t="shared" si="2"/>
        <v>0</v>
      </c>
      <c r="W53" s="269">
        <f t="shared" si="2"/>
        <v>0.28</v>
      </c>
      <c r="X53" s="269">
        <f t="shared" si="2"/>
        <v>1852</v>
      </c>
      <c r="Y53" s="269">
        <f t="shared" si="2"/>
        <v>0</v>
      </c>
      <c r="Z53" s="269">
        <f t="shared" si="2"/>
        <v>3515</v>
      </c>
      <c r="AA53" s="269">
        <f t="shared" si="2"/>
        <v>108.07</v>
      </c>
      <c r="AB53" s="269">
        <f t="shared" si="2"/>
        <v>10109</v>
      </c>
      <c r="AC53" s="269">
        <f t="shared" si="2"/>
        <v>5522</v>
      </c>
      <c r="AD53" s="269">
        <f t="shared" si="2"/>
        <v>10529</v>
      </c>
      <c r="AE53" s="269">
        <f t="shared" si="2"/>
        <v>81.69999999999999</v>
      </c>
      <c r="AF53" s="269">
        <f t="shared" si="2"/>
        <v>11346</v>
      </c>
      <c r="AG53" s="269">
        <f t="shared" si="2"/>
        <v>752</v>
      </c>
      <c r="AH53" s="269">
        <f t="shared" si="2"/>
        <v>10930</v>
      </c>
      <c r="AI53" s="269">
        <f t="shared" si="2"/>
        <v>104.07000000000001</v>
      </c>
      <c r="AJ53" s="269">
        <f t="shared" si="2"/>
        <v>6800</v>
      </c>
      <c r="AK53" s="269">
        <f t="shared" si="2"/>
        <v>0</v>
      </c>
      <c r="AL53" s="269">
        <f t="shared" si="2"/>
        <v>1826</v>
      </c>
      <c r="AM53" s="269">
        <f t="shared" si="2"/>
        <v>146.26999999999998</v>
      </c>
      <c r="AN53" s="269">
        <f t="shared" si="2"/>
        <v>0</v>
      </c>
      <c r="AO53" s="269">
        <f t="shared" si="2"/>
        <v>0</v>
      </c>
      <c r="AP53" s="269">
        <f t="shared" si="2"/>
        <v>14730</v>
      </c>
      <c r="AQ53" s="269">
        <f t="shared" si="2"/>
        <v>353.53</v>
      </c>
      <c r="AR53" s="269">
        <f t="shared" si="2"/>
        <v>33678</v>
      </c>
      <c r="AS53" s="269">
        <f t="shared" si="2"/>
        <v>0</v>
      </c>
      <c r="AT53" s="269">
        <f t="shared" si="2"/>
        <v>28627</v>
      </c>
      <c r="AU53" s="269">
        <f t="shared" si="2"/>
        <v>410.13</v>
      </c>
      <c r="AV53" s="165"/>
      <c r="AW53" s="270"/>
      <c r="AX53" s="270"/>
      <c r="AY53" s="270"/>
      <c r="AZ53" s="313"/>
    </row>
    <row r="54" spans="1:52" s="18" customFormat="1" ht="16.5" thickBot="1">
      <c r="A54" s="249"/>
      <c r="B54" s="1167" t="s">
        <v>17</v>
      </c>
      <c r="C54" s="1168"/>
      <c r="D54" s="164">
        <f>SUM(D21,D33,D53)</f>
        <v>39162</v>
      </c>
      <c r="E54" s="164">
        <f aca="true" t="shared" si="3" ref="E54:AU54">SUM(E21,E33,E53)</f>
        <v>1859</v>
      </c>
      <c r="F54" s="164">
        <f t="shared" si="3"/>
        <v>70354</v>
      </c>
      <c r="G54" s="164">
        <f t="shared" si="3"/>
        <v>703.6099999999999</v>
      </c>
      <c r="H54" s="164">
        <f t="shared" si="3"/>
        <v>174</v>
      </c>
      <c r="I54" s="164">
        <f t="shared" si="3"/>
        <v>50</v>
      </c>
      <c r="J54" s="164">
        <f t="shared" si="3"/>
        <v>1431</v>
      </c>
      <c r="K54" s="164">
        <f t="shared" si="3"/>
        <v>8.66</v>
      </c>
      <c r="L54" s="164">
        <f t="shared" si="3"/>
        <v>15237</v>
      </c>
      <c r="M54" s="164">
        <f t="shared" si="3"/>
        <v>5768</v>
      </c>
      <c r="N54" s="164">
        <f t="shared" si="3"/>
        <v>15072</v>
      </c>
      <c r="O54" s="164">
        <f t="shared" si="3"/>
        <v>407.16999999999996</v>
      </c>
      <c r="P54" s="164">
        <f t="shared" si="3"/>
        <v>15574</v>
      </c>
      <c r="Q54" s="164">
        <f t="shared" si="3"/>
        <v>3034</v>
      </c>
      <c r="R54" s="164">
        <f t="shared" si="3"/>
        <v>4673</v>
      </c>
      <c r="S54" s="164">
        <f t="shared" si="3"/>
        <v>235.62</v>
      </c>
      <c r="T54" s="164">
        <f t="shared" si="3"/>
        <v>11480</v>
      </c>
      <c r="U54" s="164">
        <f t="shared" si="3"/>
        <v>9291</v>
      </c>
      <c r="V54" s="164">
        <f t="shared" si="3"/>
        <v>14765</v>
      </c>
      <c r="W54" s="164">
        <f t="shared" si="3"/>
        <v>568.06</v>
      </c>
      <c r="X54" s="164">
        <f t="shared" si="3"/>
        <v>1852</v>
      </c>
      <c r="Y54" s="164">
        <f t="shared" si="3"/>
        <v>0</v>
      </c>
      <c r="Z54" s="164">
        <f t="shared" si="3"/>
        <v>3515</v>
      </c>
      <c r="AA54" s="164">
        <f t="shared" si="3"/>
        <v>108.07</v>
      </c>
      <c r="AB54" s="164">
        <f t="shared" si="3"/>
        <v>28671</v>
      </c>
      <c r="AC54" s="164">
        <f t="shared" si="3"/>
        <v>18492</v>
      </c>
      <c r="AD54" s="164">
        <f t="shared" si="3"/>
        <v>17882</v>
      </c>
      <c r="AE54" s="164">
        <f t="shared" si="3"/>
        <v>295.01</v>
      </c>
      <c r="AF54" s="164">
        <f t="shared" si="3"/>
        <v>14419</v>
      </c>
      <c r="AG54" s="164">
        <f t="shared" si="3"/>
        <v>2984</v>
      </c>
      <c r="AH54" s="164">
        <f t="shared" si="3"/>
        <v>13894</v>
      </c>
      <c r="AI54" s="164">
        <f t="shared" si="3"/>
        <v>283.39</v>
      </c>
      <c r="AJ54" s="164">
        <f t="shared" si="3"/>
        <v>15970</v>
      </c>
      <c r="AK54" s="164">
        <f t="shared" si="3"/>
        <v>6212</v>
      </c>
      <c r="AL54" s="164">
        <f t="shared" si="3"/>
        <v>6416</v>
      </c>
      <c r="AM54" s="164">
        <f t="shared" si="3"/>
        <v>229.95999999999998</v>
      </c>
      <c r="AN54" s="164">
        <f t="shared" si="3"/>
        <v>926</v>
      </c>
      <c r="AO54" s="164">
        <f t="shared" si="3"/>
        <v>705</v>
      </c>
      <c r="AP54" s="164">
        <f t="shared" si="3"/>
        <v>19468</v>
      </c>
      <c r="AQ54" s="164">
        <f t="shared" si="3"/>
        <v>660.3</v>
      </c>
      <c r="AR54" s="164">
        <f t="shared" si="3"/>
        <v>43017</v>
      </c>
      <c r="AS54" s="164">
        <f t="shared" si="3"/>
        <v>0</v>
      </c>
      <c r="AT54" s="164">
        <f t="shared" si="3"/>
        <v>34254</v>
      </c>
      <c r="AU54" s="164">
        <f t="shared" si="3"/>
        <v>657.25</v>
      </c>
      <c r="AV54" s="164"/>
      <c r="AW54" s="164"/>
      <c r="AX54" s="164"/>
      <c r="AY54" s="164"/>
      <c r="AZ54" s="250"/>
    </row>
    <row r="55" ht="15.75">
      <c r="B55" s="190"/>
    </row>
  </sheetData>
  <sheetProtection/>
  <mergeCells count="99">
    <mergeCell ref="B53:C53"/>
    <mergeCell ref="B54:C54"/>
    <mergeCell ref="AU45:AU50"/>
    <mergeCell ref="AW45:AW48"/>
    <mergeCell ref="AX45:AX48"/>
    <mergeCell ref="AY45:AY48"/>
    <mergeCell ref="AC45:AC50"/>
    <mergeCell ref="AD45:AD50"/>
    <mergeCell ref="AE45:AE50"/>
    <mergeCell ref="AJ45:AK50"/>
    <mergeCell ref="AZ45:AZ48"/>
    <mergeCell ref="B49:B50"/>
    <mergeCell ref="AW49:AW50"/>
    <mergeCell ref="AM45:AM50"/>
    <mergeCell ref="AP45:AP48"/>
    <mergeCell ref="AQ45:AQ48"/>
    <mergeCell ref="AR45:AR50"/>
    <mergeCell ref="AS45:AS50"/>
    <mergeCell ref="AT45:AT50"/>
    <mergeCell ref="AB45:AB50"/>
    <mergeCell ref="AL45:AL50"/>
    <mergeCell ref="N45:N50"/>
    <mergeCell ref="O45:O50"/>
    <mergeCell ref="X45:X50"/>
    <mergeCell ref="Y45:Y50"/>
    <mergeCell ref="Z45:Z50"/>
    <mergeCell ref="AA45:AA50"/>
    <mergeCell ref="H45:H50"/>
    <mergeCell ref="I45:I50"/>
    <mergeCell ref="J45:J50"/>
    <mergeCell ref="K45:K50"/>
    <mergeCell ref="L45:L50"/>
    <mergeCell ref="M45:M50"/>
    <mergeCell ref="AE41:AE42"/>
    <mergeCell ref="AJ41:AK44"/>
    <mergeCell ref="AL41:AL44"/>
    <mergeCell ref="AM41:AM44"/>
    <mergeCell ref="A45:A50"/>
    <mergeCell ref="B45:B48"/>
    <mergeCell ref="D45:D50"/>
    <mergeCell ref="E45:E50"/>
    <mergeCell ref="F45:F50"/>
    <mergeCell ref="G45:G50"/>
    <mergeCell ref="B33:C33"/>
    <mergeCell ref="B40:B44"/>
    <mergeCell ref="A41:A44"/>
    <mergeCell ref="AB41:AB42"/>
    <mergeCell ref="AC41:AC42"/>
    <mergeCell ref="AD41:AD42"/>
    <mergeCell ref="AZ4:AZ5"/>
    <mergeCell ref="C6:C8"/>
    <mergeCell ref="C9:C12"/>
    <mergeCell ref="C13:C17"/>
    <mergeCell ref="C18:C19"/>
    <mergeCell ref="B21:C21"/>
    <mergeCell ref="AR4:AS4"/>
    <mergeCell ref="AT4:AU4"/>
    <mergeCell ref="AV4:AV5"/>
    <mergeCell ref="AW4:AW5"/>
    <mergeCell ref="AX4:AX5"/>
    <mergeCell ref="AY4:AY5"/>
    <mergeCell ref="AF4:AG4"/>
    <mergeCell ref="AH4:AI4"/>
    <mergeCell ref="AJ4:AK4"/>
    <mergeCell ref="AL4:AM4"/>
    <mergeCell ref="AN4:AO4"/>
    <mergeCell ref="AP4:AQ4"/>
    <mergeCell ref="T4:U4"/>
    <mergeCell ref="V4:W4"/>
    <mergeCell ref="X4:Y4"/>
    <mergeCell ref="Z4:AA4"/>
    <mergeCell ref="AB4:AC4"/>
    <mergeCell ref="AD4:AE4"/>
    <mergeCell ref="H4:I4"/>
    <mergeCell ref="J4:K4"/>
    <mergeCell ref="L4:M4"/>
    <mergeCell ref="N4:O4"/>
    <mergeCell ref="P4:Q4"/>
    <mergeCell ref="R4:S4"/>
    <mergeCell ref="AF3:AI3"/>
    <mergeCell ref="AJ3:AM3"/>
    <mergeCell ref="AN3:AQ3"/>
    <mergeCell ref="AR3:AU3"/>
    <mergeCell ref="AV3:AY3"/>
    <mergeCell ref="A4:A5"/>
    <mergeCell ref="B4:B5"/>
    <mergeCell ref="C4:C5"/>
    <mergeCell ref="D4:E4"/>
    <mergeCell ref="F4:G4"/>
    <mergeCell ref="A1:AZ1"/>
    <mergeCell ref="A2:AZ2"/>
    <mergeCell ref="A3:C3"/>
    <mergeCell ref="D3:G3"/>
    <mergeCell ref="H3:K3"/>
    <mergeCell ref="L3:O3"/>
    <mergeCell ref="P3:S3"/>
    <mergeCell ref="T3:W3"/>
    <mergeCell ref="X3:AA3"/>
    <mergeCell ref="AB3:AE3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43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36.8515625" defaultRowHeight="15"/>
  <cols>
    <col min="1" max="1" width="15.28125" style="577" customWidth="1"/>
    <col min="2" max="2" width="25.421875" style="7" customWidth="1"/>
    <col min="3" max="3" width="21.7109375" style="27" customWidth="1"/>
    <col min="4" max="4" width="9.00390625" style="27" customWidth="1"/>
    <col min="5" max="5" width="8.00390625" style="27" customWidth="1"/>
    <col min="6" max="6" width="6.8515625" style="27" customWidth="1"/>
    <col min="7" max="7" width="8.00390625" style="27" customWidth="1"/>
    <col min="8" max="9" width="6.8515625" style="27" customWidth="1"/>
    <col min="10" max="10" width="8.00390625" style="27" customWidth="1"/>
    <col min="11" max="21" width="6.8515625" style="27" customWidth="1"/>
    <col min="22" max="22" width="7.8515625" style="27" customWidth="1"/>
    <col min="23" max="25" width="6.8515625" style="27" customWidth="1"/>
    <col min="26" max="26" width="8.28125" style="27" customWidth="1"/>
    <col min="27" max="29" width="6.8515625" style="27" customWidth="1"/>
    <col min="30" max="30" width="7.8515625" style="27" customWidth="1"/>
    <col min="31" max="31" width="6.8515625" style="27" customWidth="1"/>
    <col min="32" max="32" width="10.57421875" style="12" customWidth="1"/>
    <col min="33" max="33" width="24.140625" style="12" customWidth="1"/>
    <col min="34" max="34" width="23.7109375" style="12" customWidth="1"/>
    <col min="35" max="35" width="12.7109375" style="12" customWidth="1"/>
    <col min="36" max="36" width="40.140625" style="12" customWidth="1"/>
    <col min="37" max="16384" width="36.8515625" style="8" customWidth="1"/>
  </cols>
  <sheetData>
    <row r="1" spans="1:36" s="4" customFormat="1" ht="23.25" customHeight="1" thickBot="1">
      <c r="A1" s="1206" t="s">
        <v>42</v>
      </c>
      <c r="B1" s="1207"/>
      <c r="C1" s="1207"/>
      <c r="D1" s="1207"/>
      <c r="E1" s="1207"/>
      <c r="F1" s="1207"/>
      <c r="G1" s="1207"/>
      <c r="H1" s="1207"/>
      <c r="I1" s="1207"/>
      <c r="J1" s="1207"/>
      <c r="K1" s="1207"/>
      <c r="L1" s="1207"/>
      <c r="M1" s="1207"/>
      <c r="N1" s="1207"/>
      <c r="O1" s="1207"/>
      <c r="P1" s="1207"/>
      <c r="Q1" s="1207"/>
      <c r="R1" s="1207"/>
      <c r="S1" s="1207"/>
      <c r="T1" s="1207"/>
      <c r="U1" s="1207"/>
      <c r="V1" s="1207"/>
      <c r="W1" s="1207"/>
      <c r="X1" s="1207"/>
      <c r="Y1" s="1207"/>
      <c r="Z1" s="1207"/>
      <c r="AA1" s="1207"/>
      <c r="AB1" s="1207"/>
      <c r="AC1" s="1207"/>
      <c r="AD1" s="1207"/>
      <c r="AE1" s="1207"/>
      <c r="AF1" s="1207"/>
      <c r="AG1" s="1207"/>
      <c r="AH1" s="1207"/>
      <c r="AI1" s="1207"/>
      <c r="AJ1" s="1208"/>
    </row>
    <row r="2" spans="1:36" s="1" customFormat="1" ht="28.5" customHeight="1" thickBot="1">
      <c r="A2" s="1046" t="s">
        <v>550</v>
      </c>
      <c r="B2" s="1047"/>
      <c r="C2" s="1047"/>
      <c r="D2" s="1047"/>
      <c r="E2" s="1047"/>
      <c r="F2" s="1047"/>
      <c r="G2" s="1047"/>
      <c r="H2" s="1047"/>
      <c r="I2" s="1047"/>
      <c r="J2" s="1047"/>
      <c r="K2" s="1047"/>
      <c r="L2" s="1047"/>
      <c r="M2" s="1047"/>
      <c r="N2" s="1047"/>
      <c r="O2" s="1047"/>
      <c r="P2" s="1047"/>
      <c r="Q2" s="1047"/>
      <c r="R2" s="1047"/>
      <c r="S2" s="1047"/>
      <c r="T2" s="1047"/>
      <c r="U2" s="1047"/>
      <c r="V2" s="1047"/>
      <c r="W2" s="1047"/>
      <c r="X2" s="1047"/>
      <c r="Y2" s="1047"/>
      <c r="Z2" s="1047"/>
      <c r="AA2" s="1047"/>
      <c r="AB2" s="1047"/>
      <c r="AC2" s="1047"/>
      <c r="AD2" s="1047"/>
      <c r="AE2" s="1047"/>
      <c r="AF2" s="1047"/>
      <c r="AG2" s="1047"/>
      <c r="AH2" s="1047"/>
      <c r="AI2" s="1047"/>
      <c r="AJ2" s="1048"/>
    </row>
    <row r="3" spans="1:36" s="1" customFormat="1" ht="18.75" customHeight="1" thickBot="1">
      <c r="A3" s="1063"/>
      <c r="B3" s="1064"/>
      <c r="C3" s="1065"/>
      <c r="D3" s="1066" t="s">
        <v>1073</v>
      </c>
      <c r="E3" s="1064"/>
      <c r="F3" s="1064"/>
      <c r="G3" s="1065"/>
      <c r="H3" s="1066" t="s">
        <v>1074</v>
      </c>
      <c r="I3" s="1064"/>
      <c r="J3" s="1064"/>
      <c r="K3" s="1065"/>
      <c r="L3" s="1066" t="s">
        <v>1075</v>
      </c>
      <c r="M3" s="1064"/>
      <c r="N3" s="1064"/>
      <c r="O3" s="1065"/>
      <c r="P3" s="1066" t="s">
        <v>1076</v>
      </c>
      <c r="Q3" s="1064"/>
      <c r="R3" s="1064"/>
      <c r="S3" s="1065"/>
      <c r="T3" s="1066" t="s">
        <v>1077</v>
      </c>
      <c r="U3" s="1064"/>
      <c r="V3" s="1064"/>
      <c r="W3" s="1065"/>
      <c r="X3" s="1066" t="s">
        <v>1078</v>
      </c>
      <c r="Y3" s="1064"/>
      <c r="Z3" s="1064"/>
      <c r="AA3" s="1065"/>
      <c r="AB3" s="1066" t="s">
        <v>1079</v>
      </c>
      <c r="AC3" s="1064"/>
      <c r="AD3" s="1064"/>
      <c r="AE3" s="1064"/>
      <c r="AF3" s="1065"/>
      <c r="AG3" s="1066"/>
      <c r="AH3" s="1064"/>
      <c r="AI3" s="1064"/>
      <c r="AJ3" s="1067"/>
    </row>
    <row r="4" spans="1:36" s="7" customFormat="1" ht="21" customHeight="1">
      <c r="A4" s="1209" t="s">
        <v>116</v>
      </c>
      <c r="B4" s="1051" t="s">
        <v>43</v>
      </c>
      <c r="C4" s="1051" t="s">
        <v>20</v>
      </c>
      <c r="D4" s="1117" t="s">
        <v>112</v>
      </c>
      <c r="E4" s="1117"/>
      <c r="F4" s="1117" t="s">
        <v>113</v>
      </c>
      <c r="G4" s="1117"/>
      <c r="H4" s="1117" t="s">
        <v>112</v>
      </c>
      <c r="I4" s="1117"/>
      <c r="J4" s="1117" t="s">
        <v>113</v>
      </c>
      <c r="K4" s="1117"/>
      <c r="L4" s="1117" t="s">
        <v>112</v>
      </c>
      <c r="M4" s="1117"/>
      <c r="N4" s="1117" t="s">
        <v>113</v>
      </c>
      <c r="O4" s="1117"/>
      <c r="P4" s="1117" t="s">
        <v>112</v>
      </c>
      <c r="Q4" s="1117"/>
      <c r="R4" s="1117" t="s">
        <v>113</v>
      </c>
      <c r="S4" s="1117"/>
      <c r="T4" s="1117" t="s">
        <v>112</v>
      </c>
      <c r="U4" s="1117"/>
      <c r="V4" s="1117" t="s">
        <v>113</v>
      </c>
      <c r="W4" s="1117"/>
      <c r="X4" s="1117" t="s">
        <v>112</v>
      </c>
      <c r="Y4" s="1117"/>
      <c r="Z4" s="1117" t="s">
        <v>113</v>
      </c>
      <c r="AA4" s="1117"/>
      <c r="AB4" s="1117" t="s">
        <v>112</v>
      </c>
      <c r="AC4" s="1117"/>
      <c r="AD4" s="1117" t="s">
        <v>113</v>
      </c>
      <c r="AE4" s="1117"/>
      <c r="AF4" s="1117" t="s">
        <v>4</v>
      </c>
      <c r="AG4" s="1117" t="s">
        <v>855</v>
      </c>
      <c r="AH4" s="1117" t="s">
        <v>5</v>
      </c>
      <c r="AI4" s="1119" t="s">
        <v>83</v>
      </c>
      <c r="AJ4" s="1158" t="s">
        <v>84</v>
      </c>
    </row>
    <row r="5" spans="1:36" s="7" customFormat="1" ht="89.25" customHeight="1" thickBot="1">
      <c r="A5" s="1210"/>
      <c r="B5" s="1052"/>
      <c r="C5" s="1052"/>
      <c r="D5" s="25" t="s">
        <v>6</v>
      </c>
      <c r="E5" s="25" t="s">
        <v>7</v>
      </c>
      <c r="F5" s="25" t="s">
        <v>6</v>
      </c>
      <c r="G5" s="25" t="s">
        <v>96</v>
      </c>
      <c r="H5" s="25" t="s">
        <v>6</v>
      </c>
      <c r="I5" s="25" t="s">
        <v>7</v>
      </c>
      <c r="J5" s="25" t="s">
        <v>6</v>
      </c>
      <c r="K5" s="25" t="s">
        <v>96</v>
      </c>
      <c r="L5" s="25" t="s">
        <v>6</v>
      </c>
      <c r="M5" s="25" t="s">
        <v>7</v>
      </c>
      <c r="N5" s="25" t="s">
        <v>6</v>
      </c>
      <c r="O5" s="25" t="s">
        <v>96</v>
      </c>
      <c r="P5" s="25" t="s">
        <v>6</v>
      </c>
      <c r="Q5" s="25" t="s">
        <v>7</v>
      </c>
      <c r="R5" s="25" t="s">
        <v>6</v>
      </c>
      <c r="S5" s="25" t="s">
        <v>96</v>
      </c>
      <c r="T5" s="25" t="s">
        <v>6</v>
      </c>
      <c r="U5" s="25" t="s">
        <v>7</v>
      </c>
      <c r="V5" s="25" t="s">
        <v>6</v>
      </c>
      <c r="W5" s="25" t="s">
        <v>96</v>
      </c>
      <c r="X5" s="25" t="s">
        <v>6</v>
      </c>
      <c r="Y5" s="25" t="s">
        <v>7</v>
      </c>
      <c r="Z5" s="25" t="s">
        <v>6</v>
      </c>
      <c r="AA5" s="25" t="s">
        <v>96</v>
      </c>
      <c r="AB5" s="25" t="s">
        <v>6</v>
      </c>
      <c r="AC5" s="25" t="s">
        <v>7</v>
      </c>
      <c r="AD5" s="25" t="s">
        <v>6</v>
      </c>
      <c r="AE5" s="25" t="s">
        <v>96</v>
      </c>
      <c r="AF5" s="1118"/>
      <c r="AG5" s="1118"/>
      <c r="AH5" s="1118"/>
      <c r="AI5" s="1120"/>
      <c r="AJ5" s="1159"/>
    </row>
    <row r="6" spans="1:36" s="676" customFormat="1" ht="33.75" customHeight="1">
      <c r="A6" s="748" t="s">
        <v>164</v>
      </c>
      <c r="B6" s="151" t="s">
        <v>44</v>
      </c>
      <c r="C6" s="1214"/>
      <c r="D6" s="423">
        <v>46</v>
      </c>
      <c r="E6" s="423">
        <v>0</v>
      </c>
      <c r="F6" s="423">
        <v>40</v>
      </c>
      <c r="G6" s="423">
        <v>23.07</v>
      </c>
      <c r="H6" s="560"/>
      <c r="I6" s="560">
        <v>16</v>
      </c>
      <c r="J6" s="560">
        <v>50</v>
      </c>
      <c r="K6" s="560">
        <v>6</v>
      </c>
      <c r="L6" s="472"/>
      <c r="M6" s="472"/>
      <c r="N6" s="1123" t="s">
        <v>1080</v>
      </c>
      <c r="O6" s="1124"/>
      <c r="P6" s="150">
        <v>24</v>
      </c>
      <c r="Q6" s="150">
        <v>0</v>
      </c>
      <c r="R6" s="150">
        <v>24</v>
      </c>
      <c r="S6" s="150">
        <v>9.6</v>
      </c>
      <c r="T6" s="570">
        <v>30</v>
      </c>
      <c r="U6" s="570">
        <v>0</v>
      </c>
      <c r="V6" s="570">
        <v>15</v>
      </c>
      <c r="W6" s="206">
        <v>2.34</v>
      </c>
      <c r="X6" s="675">
        <v>32</v>
      </c>
      <c r="Y6" s="443">
        <v>0</v>
      </c>
      <c r="Z6" s="675">
        <v>16</v>
      </c>
      <c r="AA6" s="464">
        <v>2</v>
      </c>
      <c r="AB6" s="464"/>
      <c r="AC6" s="464"/>
      <c r="AD6" s="464"/>
      <c r="AE6" s="464"/>
      <c r="AF6" s="145" t="s">
        <v>45</v>
      </c>
      <c r="AG6" s="431">
        <v>16</v>
      </c>
      <c r="AH6" s="145" t="s">
        <v>163</v>
      </c>
      <c r="AI6" s="145" t="s">
        <v>306</v>
      </c>
      <c r="AJ6" s="116" t="s">
        <v>282</v>
      </c>
    </row>
    <row r="7" spans="1:36" s="7" customFormat="1" ht="29.25" customHeight="1">
      <c r="A7" s="748" t="s">
        <v>169</v>
      </c>
      <c r="B7" s="152" t="s">
        <v>51</v>
      </c>
      <c r="C7" s="1214"/>
      <c r="D7" s="423">
        <v>20</v>
      </c>
      <c r="E7" s="423">
        <v>32</v>
      </c>
      <c r="F7" s="423">
        <v>40</v>
      </c>
      <c r="G7" s="566">
        <v>7.96</v>
      </c>
      <c r="H7" s="560"/>
      <c r="I7" s="560">
        <v>35</v>
      </c>
      <c r="J7" s="560">
        <v>50</v>
      </c>
      <c r="K7" s="560">
        <v>1.59</v>
      </c>
      <c r="L7" s="2">
        <v>2</v>
      </c>
      <c r="M7" s="68">
        <v>0</v>
      </c>
      <c r="N7" s="68"/>
      <c r="O7" s="68"/>
      <c r="P7" s="150">
        <v>24</v>
      </c>
      <c r="Q7" s="150">
        <v>0</v>
      </c>
      <c r="R7" s="150">
        <v>24</v>
      </c>
      <c r="S7" s="150">
        <v>2.82</v>
      </c>
      <c r="T7" s="570">
        <v>45</v>
      </c>
      <c r="U7" s="570">
        <v>0</v>
      </c>
      <c r="V7" s="570">
        <v>45</v>
      </c>
      <c r="W7" s="206">
        <v>3.25</v>
      </c>
      <c r="X7" s="675">
        <v>32</v>
      </c>
      <c r="Y7" s="675">
        <v>6</v>
      </c>
      <c r="Z7" s="675">
        <v>64</v>
      </c>
      <c r="AA7" s="677">
        <v>0.8</v>
      </c>
      <c r="AB7" s="557">
        <v>48</v>
      </c>
      <c r="AC7" s="557">
        <v>0</v>
      </c>
      <c r="AD7" s="557">
        <v>64</v>
      </c>
      <c r="AE7" s="678">
        <v>1.8</v>
      </c>
      <c r="AF7" s="145" t="s">
        <v>168</v>
      </c>
      <c r="AG7" s="431">
        <v>30</v>
      </c>
      <c r="AH7" s="145" t="s">
        <v>167</v>
      </c>
      <c r="AI7" s="145" t="s">
        <v>306</v>
      </c>
      <c r="AJ7" s="117" t="s">
        <v>283</v>
      </c>
    </row>
    <row r="8" spans="1:36" s="7" customFormat="1" ht="29.25" customHeight="1">
      <c r="A8" s="748" t="s">
        <v>166</v>
      </c>
      <c r="B8" s="152" t="s">
        <v>151</v>
      </c>
      <c r="C8" s="1214"/>
      <c r="D8" s="474"/>
      <c r="E8" s="474"/>
      <c r="F8" s="474"/>
      <c r="G8" s="474"/>
      <c r="H8" s="474"/>
      <c r="I8" s="474"/>
      <c r="J8" s="474"/>
      <c r="K8" s="474"/>
      <c r="L8" s="55">
        <v>7</v>
      </c>
      <c r="M8" s="55">
        <v>0</v>
      </c>
      <c r="N8" s="68">
        <v>7</v>
      </c>
      <c r="O8" s="68">
        <v>5.6</v>
      </c>
      <c r="P8" s="145">
        <v>60</v>
      </c>
      <c r="Q8" s="145">
        <v>0</v>
      </c>
      <c r="R8" s="145">
        <v>60</v>
      </c>
      <c r="S8" s="145">
        <v>9.45</v>
      </c>
      <c r="T8" s="570">
        <v>8</v>
      </c>
      <c r="U8" s="570">
        <v>0</v>
      </c>
      <c r="V8" s="570">
        <v>10</v>
      </c>
      <c r="W8" s="206">
        <v>0.85</v>
      </c>
      <c r="X8" s="474"/>
      <c r="Y8" s="474"/>
      <c r="Z8" s="474"/>
      <c r="AA8" s="474"/>
      <c r="AB8" s="474"/>
      <c r="AC8" s="474"/>
      <c r="AD8" s="474"/>
      <c r="AE8" s="474"/>
      <c r="AF8" s="431" t="s">
        <v>12</v>
      </c>
      <c r="AG8" s="431">
        <v>25</v>
      </c>
      <c r="AH8" s="145" t="s">
        <v>284</v>
      </c>
      <c r="AI8" s="145" t="s">
        <v>306</v>
      </c>
      <c r="AJ8" s="117" t="s">
        <v>285</v>
      </c>
    </row>
    <row r="9" spans="1:36" s="7" customFormat="1" ht="29.25" customHeight="1">
      <c r="A9" s="748" t="s">
        <v>787</v>
      </c>
      <c r="B9" s="152" t="s">
        <v>788</v>
      </c>
      <c r="C9" s="1200" t="s">
        <v>675</v>
      </c>
      <c r="D9" s="679"/>
      <c r="E9" s="679"/>
      <c r="F9" s="679"/>
      <c r="G9" s="679"/>
      <c r="H9" s="679"/>
      <c r="I9" s="679"/>
      <c r="J9" s="679"/>
      <c r="K9" s="679"/>
      <c r="L9" s="679"/>
      <c r="M9" s="679"/>
      <c r="N9" s="679"/>
      <c r="O9" s="679"/>
      <c r="P9" s="145">
        <v>0</v>
      </c>
      <c r="Q9" s="145">
        <v>0</v>
      </c>
      <c r="R9" s="145">
        <v>12</v>
      </c>
      <c r="S9" s="145">
        <v>1.89</v>
      </c>
      <c r="T9" s="679"/>
      <c r="U9" s="679"/>
      <c r="V9" s="679"/>
      <c r="W9" s="679"/>
      <c r="X9" s="679"/>
      <c r="Y9" s="679"/>
      <c r="Z9" s="679"/>
      <c r="AA9" s="679"/>
      <c r="AB9" s="679"/>
      <c r="AC9" s="679"/>
      <c r="AD9" s="679"/>
      <c r="AE9" s="679"/>
      <c r="AF9" s="680" t="s">
        <v>9</v>
      </c>
      <c r="AG9" s="431">
        <v>30</v>
      </c>
      <c r="AH9" s="145" t="s">
        <v>791</v>
      </c>
      <c r="AI9" s="145" t="s">
        <v>306</v>
      </c>
      <c r="AJ9" s="116" t="s">
        <v>610</v>
      </c>
    </row>
    <row r="10" spans="1:36" s="7" customFormat="1" ht="29.25" customHeight="1">
      <c r="A10" s="748" t="s">
        <v>703</v>
      </c>
      <c r="B10" s="152" t="s">
        <v>51</v>
      </c>
      <c r="C10" s="1201"/>
      <c r="D10" s="679"/>
      <c r="E10" s="679"/>
      <c r="F10" s="679"/>
      <c r="G10" s="679"/>
      <c r="H10" s="679"/>
      <c r="I10" s="679"/>
      <c r="J10" s="679"/>
      <c r="K10" s="679"/>
      <c r="L10" s="679"/>
      <c r="M10" s="679"/>
      <c r="N10" s="679"/>
      <c r="O10" s="679"/>
      <c r="P10" s="679"/>
      <c r="Q10" s="679"/>
      <c r="R10" s="679"/>
      <c r="S10" s="679"/>
      <c r="T10" s="679"/>
      <c r="U10" s="679"/>
      <c r="V10" s="679"/>
      <c r="W10" s="679"/>
      <c r="X10" s="679"/>
      <c r="Y10" s="679"/>
      <c r="Z10" s="679"/>
      <c r="AA10" s="679"/>
      <c r="AB10" s="557">
        <v>2</v>
      </c>
      <c r="AC10" s="557">
        <v>0</v>
      </c>
      <c r="AD10" s="557">
        <v>0</v>
      </c>
      <c r="AE10" s="557">
        <v>0</v>
      </c>
      <c r="AF10" s="431" t="s">
        <v>168</v>
      </c>
      <c r="AG10" s="431">
        <v>30</v>
      </c>
      <c r="AH10" s="560" t="s">
        <v>13</v>
      </c>
      <c r="AI10" s="145" t="s">
        <v>306</v>
      </c>
      <c r="AJ10" s="117" t="s">
        <v>555</v>
      </c>
    </row>
    <row r="11" spans="1:36" s="7" customFormat="1" ht="29.25" customHeight="1" thickBot="1">
      <c r="A11" s="748" t="s">
        <v>1159</v>
      </c>
      <c r="B11" s="152" t="s">
        <v>151</v>
      </c>
      <c r="C11" s="1117"/>
      <c r="D11" s="679"/>
      <c r="E11" s="679"/>
      <c r="F11" s="679"/>
      <c r="G11" s="679"/>
      <c r="H11" s="679"/>
      <c r="I11" s="679"/>
      <c r="J11" s="679"/>
      <c r="K11" s="679"/>
      <c r="L11" s="55"/>
      <c r="M11" s="55"/>
      <c r="N11" s="68">
        <v>5</v>
      </c>
      <c r="O11" s="68">
        <v>1.27</v>
      </c>
      <c r="P11" s="681"/>
      <c r="Q11" s="681"/>
      <c r="R11" s="681"/>
      <c r="S11" s="681"/>
      <c r="T11" s="681"/>
      <c r="U11" s="681"/>
      <c r="V11" s="681"/>
      <c r="W11" s="681"/>
      <c r="X11" s="679"/>
      <c r="Y11" s="679"/>
      <c r="Z11" s="679"/>
      <c r="AA11" s="679"/>
      <c r="AB11" s="557"/>
      <c r="AC11" s="557"/>
      <c r="AD11" s="557"/>
      <c r="AE11" s="557"/>
      <c r="AF11" s="68" t="s">
        <v>9</v>
      </c>
      <c r="AG11" s="68">
        <v>6</v>
      </c>
      <c r="AH11" s="68" t="s">
        <v>1160</v>
      </c>
      <c r="AI11" s="67" t="s">
        <v>491</v>
      </c>
      <c r="AJ11" s="682" t="s">
        <v>675</v>
      </c>
    </row>
    <row r="12" spans="1:36" s="4" customFormat="1" ht="33" customHeight="1">
      <c r="A12" s="748" t="s">
        <v>165</v>
      </c>
      <c r="B12" s="152" t="s">
        <v>152</v>
      </c>
      <c r="C12" s="1214" t="s">
        <v>33</v>
      </c>
      <c r="D12" s="423">
        <v>43</v>
      </c>
      <c r="E12" s="423">
        <v>0</v>
      </c>
      <c r="F12" s="423">
        <v>40</v>
      </c>
      <c r="G12" s="423">
        <v>19.25</v>
      </c>
      <c r="H12" s="473"/>
      <c r="I12" s="473"/>
      <c r="J12" s="473"/>
      <c r="K12" s="473"/>
      <c r="L12" s="473"/>
      <c r="M12" s="473"/>
      <c r="N12" s="1123" t="s">
        <v>1080</v>
      </c>
      <c r="O12" s="1124"/>
      <c r="P12" s="145">
        <v>108</v>
      </c>
      <c r="Q12" s="55">
        <v>0</v>
      </c>
      <c r="R12" s="145">
        <v>108</v>
      </c>
      <c r="S12" s="145">
        <v>34.11</v>
      </c>
      <c r="T12" s="570">
        <v>28</v>
      </c>
      <c r="U12" s="570">
        <v>0</v>
      </c>
      <c r="V12" s="570">
        <v>28</v>
      </c>
      <c r="W12" s="206">
        <v>2.91</v>
      </c>
      <c r="X12" s="443">
        <v>32</v>
      </c>
      <c r="Y12" s="443">
        <v>32</v>
      </c>
      <c r="Z12" s="443">
        <v>32</v>
      </c>
      <c r="AA12" s="443">
        <v>3.46</v>
      </c>
      <c r="AB12" s="443"/>
      <c r="AC12" s="443"/>
      <c r="AD12" s="443"/>
      <c r="AE12" s="443"/>
      <c r="AF12" s="145" t="s">
        <v>45</v>
      </c>
      <c r="AG12" s="431">
        <v>16</v>
      </c>
      <c r="AH12" s="145" t="s">
        <v>163</v>
      </c>
      <c r="AI12" s="145" t="s">
        <v>306</v>
      </c>
      <c r="AJ12" s="116" t="s">
        <v>282</v>
      </c>
    </row>
    <row r="13" spans="1:36" s="4" customFormat="1" ht="33" customHeight="1">
      <c r="A13" s="748" t="s">
        <v>567</v>
      </c>
      <c r="B13" s="151" t="s">
        <v>568</v>
      </c>
      <c r="C13" s="1214"/>
      <c r="D13" s="423">
        <v>20</v>
      </c>
      <c r="E13" s="423">
        <v>0</v>
      </c>
      <c r="F13" s="423">
        <v>40</v>
      </c>
      <c r="G13" s="566">
        <v>5.38</v>
      </c>
      <c r="H13" s="560"/>
      <c r="I13" s="560">
        <v>40</v>
      </c>
      <c r="J13" s="152"/>
      <c r="K13" s="152"/>
      <c r="L13" s="55">
        <v>120</v>
      </c>
      <c r="M13" s="55">
        <v>0</v>
      </c>
      <c r="N13" s="145"/>
      <c r="O13" s="145"/>
      <c r="P13" s="145">
        <v>120</v>
      </c>
      <c r="Q13" s="55">
        <v>20</v>
      </c>
      <c r="R13" s="145">
        <v>192</v>
      </c>
      <c r="S13" s="145">
        <v>12.44</v>
      </c>
      <c r="T13" s="570">
        <v>60</v>
      </c>
      <c r="U13" s="570">
        <v>0</v>
      </c>
      <c r="V13" s="570">
        <v>60</v>
      </c>
      <c r="W13" s="206">
        <v>2.96</v>
      </c>
      <c r="X13" s="675">
        <v>64</v>
      </c>
      <c r="Y13" s="443">
        <v>21</v>
      </c>
      <c r="Z13" s="675">
        <v>64</v>
      </c>
      <c r="AA13" s="677">
        <v>1.6</v>
      </c>
      <c r="AB13" s="557">
        <v>192</v>
      </c>
      <c r="AC13" s="557">
        <v>0</v>
      </c>
      <c r="AD13" s="557">
        <v>256</v>
      </c>
      <c r="AE13" s="557">
        <v>7.19</v>
      </c>
      <c r="AF13" s="145" t="s">
        <v>37</v>
      </c>
      <c r="AG13" s="145">
        <v>15</v>
      </c>
      <c r="AH13" s="55" t="s">
        <v>13</v>
      </c>
      <c r="AI13" s="55" t="s">
        <v>306</v>
      </c>
      <c r="AJ13" s="116" t="s">
        <v>555</v>
      </c>
    </row>
    <row r="14" spans="1:36" s="676" customFormat="1" ht="29.25" customHeight="1" thickBot="1">
      <c r="A14" s="748" t="s">
        <v>171</v>
      </c>
      <c r="B14" s="152" t="s">
        <v>51</v>
      </c>
      <c r="C14" s="1200" t="s">
        <v>39</v>
      </c>
      <c r="D14" s="423">
        <v>42</v>
      </c>
      <c r="E14" s="423">
        <v>72</v>
      </c>
      <c r="F14" s="423">
        <v>40</v>
      </c>
      <c r="G14" s="566">
        <v>5.38</v>
      </c>
      <c r="H14" s="470"/>
      <c r="I14" s="560"/>
      <c r="J14" s="560">
        <v>50</v>
      </c>
      <c r="K14" s="560">
        <v>1.42</v>
      </c>
      <c r="L14" s="55">
        <v>151</v>
      </c>
      <c r="M14" s="55">
        <v>0</v>
      </c>
      <c r="N14" s="68"/>
      <c r="O14" s="68"/>
      <c r="P14" s="68"/>
      <c r="Q14" s="68"/>
      <c r="R14" s="68"/>
      <c r="S14" s="68"/>
      <c r="T14" s="570">
        <v>60</v>
      </c>
      <c r="U14" s="570">
        <v>0</v>
      </c>
      <c r="V14" s="570">
        <v>60</v>
      </c>
      <c r="W14" s="206">
        <v>2.96</v>
      </c>
      <c r="X14" s="206">
        <v>128</v>
      </c>
      <c r="Y14" s="206">
        <v>0</v>
      </c>
      <c r="Z14" s="206">
        <v>128</v>
      </c>
      <c r="AA14" s="206">
        <v>3.2</v>
      </c>
      <c r="AB14" s="557">
        <v>10</v>
      </c>
      <c r="AC14" s="557">
        <v>0</v>
      </c>
      <c r="AD14" s="557">
        <v>0</v>
      </c>
      <c r="AE14" s="557">
        <v>0</v>
      </c>
      <c r="AF14" s="145" t="s">
        <v>15</v>
      </c>
      <c r="AG14" s="431">
        <v>30</v>
      </c>
      <c r="AH14" s="145" t="s">
        <v>311</v>
      </c>
      <c r="AI14" s="145" t="s">
        <v>306</v>
      </c>
      <c r="AJ14" s="116" t="s">
        <v>316</v>
      </c>
    </row>
    <row r="15" spans="1:36" s="676" customFormat="1" ht="35.25" customHeight="1">
      <c r="A15" s="748" t="s">
        <v>162</v>
      </c>
      <c r="B15" s="152" t="s">
        <v>60</v>
      </c>
      <c r="C15" s="1201"/>
      <c r="D15" s="423">
        <v>48</v>
      </c>
      <c r="E15" s="423">
        <v>31</v>
      </c>
      <c r="F15" s="423">
        <v>80</v>
      </c>
      <c r="G15" s="423">
        <v>29.26</v>
      </c>
      <c r="H15" s="560"/>
      <c r="I15" s="560">
        <v>40</v>
      </c>
      <c r="J15" s="560"/>
      <c r="K15" s="560"/>
      <c r="L15" s="55"/>
      <c r="M15" s="55"/>
      <c r="N15" s="1123" t="s">
        <v>1080</v>
      </c>
      <c r="O15" s="1124"/>
      <c r="P15" s="145">
        <v>30</v>
      </c>
      <c r="Q15" s="55">
        <v>0</v>
      </c>
      <c r="R15" s="145">
        <v>30</v>
      </c>
      <c r="S15" s="145">
        <v>11.98</v>
      </c>
      <c r="T15" s="570">
        <v>48</v>
      </c>
      <c r="U15" s="570">
        <v>0</v>
      </c>
      <c r="V15" s="570">
        <v>60</v>
      </c>
      <c r="W15" s="206">
        <v>9.04</v>
      </c>
      <c r="X15" s="683">
        <v>120</v>
      </c>
      <c r="Y15" s="683">
        <v>1</v>
      </c>
      <c r="Z15" s="683">
        <v>96</v>
      </c>
      <c r="AA15" s="683">
        <v>8.4</v>
      </c>
      <c r="AB15" s="557">
        <v>96</v>
      </c>
      <c r="AC15" s="557">
        <v>95</v>
      </c>
      <c r="AD15" s="557">
        <v>384</v>
      </c>
      <c r="AE15" s="557">
        <v>43.23</v>
      </c>
      <c r="AF15" s="145" t="s">
        <v>61</v>
      </c>
      <c r="AG15" s="431">
        <v>30</v>
      </c>
      <c r="AH15" s="145" t="s">
        <v>1161</v>
      </c>
      <c r="AI15" s="145" t="s">
        <v>306</v>
      </c>
      <c r="AJ15" s="116" t="s">
        <v>287</v>
      </c>
    </row>
    <row r="16" spans="1:36" s="676" customFormat="1" ht="35.25" customHeight="1">
      <c r="A16" s="748" t="s">
        <v>1162</v>
      </c>
      <c r="B16" s="152" t="s">
        <v>1163</v>
      </c>
      <c r="C16" s="152" t="s">
        <v>34</v>
      </c>
      <c r="D16" s="473"/>
      <c r="E16" s="473"/>
      <c r="F16" s="473"/>
      <c r="G16" s="473"/>
      <c r="H16" s="473"/>
      <c r="I16" s="473"/>
      <c r="J16" s="473"/>
      <c r="K16" s="473"/>
      <c r="L16" s="55"/>
      <c r="M16" s="55"/>
      <c r="N16" s="145">
        <v>12</v>
      </c>
      <c r="O16" s="145">
        <v>4.63</v>
      </c>
      <c r="P16" s="145"/>
      <c r="Q16" s="145"/>
      <c r="R16" s="145"/>
      <c r="S16" s="145"/>
      <c r="T16" s="145"/>
      <c r="U16" s="145"/>
      <c r="V16" s="145"/>
      <c r="W16" s="145"/>
      <c r="X16" s="683"/>
      <c r="Y16" s="683"/>
      <c r="Z16" s="683"/>
      <c r="AA16" s="683"/>
      <c r="AB16" s="557"/>
      <c r="AC16" s="557"/>
      <c r="AD16" s="557"/>
      <c r="AE16" s="557"/>
      <c r="AF16" s="145"/>
      <c r="AG16" s="431"/>
      <c r="AH16" s="145"/>
      <c r="AI16" s="145"/>
      <c r="AJ16" s="116"/>
    </row>
    <row r="17" spans="1:36" s="676" customFormat="1" ht="29.25" customHeight="1">
      <c r="A17" s="748" t="s">
        <v>161</v>
      </c>
      <c r="B17" s="152" t="s">
        <v>288</v>
      </c>
      <c r="C17" s="152" t="s">
        <v>289</v>
      </c>
      <c r="D17" s="560"/>
      <c r="E17" s="560"/>
      <c r="F17" s="684"/>
      <c r="G17" s="684"/>
      <c r="H17" s="560"/>
      <c r="I17" s="560"/>
      <c r="J17" s="684">
        <v>228</v>
      </c>
      <c r="K17" s="684">
        <v>4.94</v>
      </c>
      <c r="L17" s="152"/>
      <c r="M17" s="152"/>
      <c r="N17" s="152"/>
      <c r="O17" s="152"/>
      <c r="P17" s="152"/>
      <c r="Q17" s="152"/>
      <c r="R17" s="152"/>
      <c r="S17" s="152"/>
      <c r="T17" s="570">
        <v>180</v>
      </c>
      <c r="U17" s="570">
        <v>0</v>
      </c>
      <c r="V17" s="570">
        <v>180</v>
      </c>
      <c r="W17" s="206">
        <v>6.28</v>
      </c>
      <c r="X17" s="152"/>
      <c r="Y17" s="152"/>
      <c r="Z17" s="152"/>
      <c r="AA17" s="152"/>
      <c r="AB17" s="557">
        <v>8</v>
      </c>
      <c r="AC17" s="557">
        <v>0</v>
      </c>
      <c r="AD17" s="557">
        <v>0</v>
      </c>
      <c r="AE17" s="557">
        <v>0</v>
      </c>
      <c r="AF17" s="145" t="s">
        <v>61</v>
      </c>
      <c r="AG17" s="431" t="s">
        <v>865</v>
      </c>
      <c r="AH17" s="145" t="s">
        <v>1086</v>
      </c>
      <c r="AI17" s="145" t="s">
        <v>306</v>
      </c>
      <c r="AJ17" s="116" t="s">
        <v>291</v>
      </c>
    </row>
    <row r="18" spans="1:36" s="4" customFormat="1" ht="29.25" customHeight="1">
      <c r="A18" s="26"/>
      <c r="B18" s="1027" t="s">
        <v>30</v>
      </c>
      <c r="C18" s="1027"/>
      <c r="D18" s="153">
        <f>SUM(D6:D17)</f>
        <v>219</v>
      </c>
      <c r="E18" s="153">
        <f aca="true" t="shared" si="0" ref="E18:AE18">SUM(E6:E17)</f>
        <v>135</v>
      </c>
      <c r="F18" s="153">
        <f t="shared" si="0"/>
        <v>280</v>
      </c>
      <c r="G18" s="153">
        <f t="shared" si="0"/>
        <v>90.30000000000001</v>
      </c>
      <c r="H18" s="153">
        <f t="shared" si="0"/>
        <v>0</v>
      </c>
      <c r="I18" s="153">
        <f t="shared" si="0"/>
        <v>131</v>
      </c>
      <c r="J18" s="153">
        <f t="shared" si="0"/>
        <v>378</v>
      </c>
      <c r="K18" s="153">
        <f t="shared" si="0"/>
        <v>13.95</v>
      </c>
      <c r="L18" s="153">
        <f t="shared" si="0"/>
        <v>280</v>
      </c>
      <c r="M18" s="153">
        <f t="shared" si="0"/>
        <v>0</v>
      </c>
      <c r="N18" s="153">
        <f t="shared" si="0"/>
        <v>24</v>
      </c>
      <c r="O18" s="153">
        <f t="shared" si="0"/>
        <v>11.5</v>
      </c>
      <c r="P18" s="153">
        <f t="shared" si="0"/>
        <v>366</v>
      </c>
      <c r="Q18" s="153">
        <f t="shared" si="0"/>
        <v>20</v>
      </c>
      <c r="R18" s="153">
        <f t="shared" si="0"/>
        <v>450</v>
      </c>
      <c r="S18" s="153">
        <f t="shared" si="0"/>
        <v>82.29</v>
      </c>
      <c r="T18" s="153">
        <f t="shared" si="0"/>
        <v>459</v>
      </c>
      <c r="U18" s="153">
        <f t="shared" si="0"/>
        <v>0</v>
      </c>
      <c r="V18" s="153">
        <f t="shared" si="0"/>
        <v>458</v>
      </c>
      <c r="W18" s="153">
        <f t="shared" si="0"/>
        <v>30.59</v>
      </c>
      <c r="X18" s="153">
        <f t="shared" si="0"/>
        <v>408</v>
      </c>
      <c r="Y18" s="153">
        <f t="shared" si="0"/>
        <v>60</v>
      </c>
      <c r="Z18" s="153">
        <f t="shared" si="0"/>
        <v>400</v>
      </c>
      <c r="AA18" s="153">
        <f t="shared" si="0"/>
        <v>19.46</v>
      </c>
      <c r="AB18" s="153">
        <f t="shared" si="0"/>
        <v>356</v>
      </c>
      <c r="AC18" s="153">
        <f t="shared" si="0"/>
        <v>95</v>
      </c>
      <c r="AD18" s="153">
        <f t="shared" si="0"/>
        <v>704</v>
      </c>
      <c r="AE18" s="153">
        <f t="shared" si="0"/>
        <v>52.22</v>
      </c>
      <c r="AF18" s="686"/>
      <c r="AG18" s="686"/>
      <c r="AH18" s="686"/>
      <c r="AI18" s="686"/>
      <c r="AJ18" s="687"/>
    </row>
    <row r="19" spans="1:36" s="3" customFormat="1" ht="29.25" customHeight="1">
      <c r="A19" s="748" t="s">
        <v>172</v>
      </c>
      <c r="B19" s="151" t="s">
        <v>47</v>
      </c>
      <c r="C19" s="6" t="s">
        <v>50</v>
      </c>
      <c r="D19" s="688">
        <v>10</v>
      </c>
      <c r="E19" s="423">
        <v>0</v>
      </c>
      <c r="F19" s="688" t="s">
        <v>575</v>
      </c>
      <c r="G19" s="566">
        <v>4.6</v>
      </c>
      <c r="H19" s="474"/>
      <c r="I19" s="474"/>
      <c r="J19" s="474"/>
      <c r="K19" s="474"/>
      <c r="L19" s="68"/>
      <c r="M19" s="2"/>
      <c r="N19" s="145">
        <v>1</v>
      </c>
      <c r="O19" s="68">
        <v>4.75</v>
      </c>
      <c r="P19" s="141"/>
      <c r="Q19" s="141"/>
      <c r="R19" s="141"/>
      <c r="S19" s="141"/>
      <c r="T19" s="141"/>
      <c r="U19" s="141"/>
      <c r="V19" s="141"/>
      <c r="W19" s="141"/>
      <c r="X19" s="474"/>
      <c r="Y19" s="474"/>
      <c r="Z19" s="474"/>
      <c r="AA19" s="474"/>
      <c r="AB19" s="474"/>
      <c r="AC19" s="474"/>
      <c r="AD19" s="474"/>
      <c r="AE19" s="474"/>
      <c r="AF19" s="33" t="s">
        <v>87</v>
      </c>
      <c r="AG19" s="528">
        <v>20</v>
      </c>
      <c r="AH19" s="33" t="s">
        <v>1164</v>
      </c>
      <c r="AI19" s="145" t="s">
        <v>306</v>
      </c>
      <c r="AJ19" s="116" t="s">
        <v>293</v>
      </c>
    </row>
    <row r="20" spans="1:36" s="3" customFormat="1" ht="35.25" customHeight="1">
      <c r="A20" s="748" t="s">
        <v>176</v>
      </c>
      <c r="B20" s="152" t="s">
        <v>62</v>
      </c>
      <c r="C20" s="152" t="s">
        <v>1165</v>
      </c>
      <c r="D20" s="689"/>
      <c r="E20" s="689"/>
      <c r="F20" s="690"/>
      <c r="G20" s="690"/>
      <c r="H20" s="689"/>
      <c r="I20" s="689">
        <v>405</v>
      </c>
      <c r="J20" s="690"/>
      <c r="K20" s="690"/>
      <c r="L20" s="68" t="s">
        <v>575</v>
      </c>
      <c r="M20" s="55">
        <v>431</v>
      </c>
      <c r="N20" s="2"/>
      <c r="O20" s="145"/>
      <c r="P20" s="145">
        <v>96</v>
      </c>
      <c r="Q20" s="55">
        <v>0</v>
      </c>
      <c r="R20" s="2">
        <v>168</v>
      </c>
      <c r="S20" s="2">
        <v>17.53</v>
      </c>
      <c r="T20" s="145"/>
      <c r="U20" s="145"/>
      <c r="V20" s="145"/>
      <c r="W20" s="145"/>
      <c r="X20" s="206">
        <v>0</v>
      </c>
      <c r="Y20" s="206">
        <v>0</v>
      </c>
      <c r="Z20" s="206">
        <v>9</v>
      </c>
      <c r="AA20" s="206">
        <v>4</v>
      </c>
      <c r="AB20" s="206"/>
      <c r="AC20" s="206"/>
      <c r="AD20" s="206"/>
      <c r="AE20" s="206"/>
      <c r="AF20" s="145" t="s">
        <v>37</v>
      </c>
      <c r="AG20" s="431">
        <v>25</v>
      </c>
      <c r="AH20" s="145" t="s">
        <v>56</v>
      </c>
      <c r="AI20" s="145" t="s">
        <v>306</v>
      </c>
      <c r="AJ20" s="116" t="s">
        <v>294</v>
      </c>
    </row>
    <row r="21" spans="1:36" s="3" customFormat="1" ht="35.25" customHeight="1">
      <c r="A21" s="748" t="s">
        <v>646</v>
      </c>
      <c r="B21" s="2" t="s">
        <v>1166</v>
      </c>
      <c r="C21" s="2" t="s">
        <v>1167</v>
      </c>
      <c r="D21" s="554"/>
      <c r="E21" s="554"/>
      <c r="F21" s="554"/>
      <c r="G21" s="554"/>
      <c r="H21" s="554"/>
      <c r="I21" s="554"/>
      <c r="J21" s="554"/>
      <c r="K21" s="554"/>
      <c r="L21" s="554"/>
      <c r="M21" s="554"/>
      <c r="N21" s="554"/>
      <c r="O21" s="554"/>
      <c r="P21" s="145">
        <v>0</v>
      </c>
      <c r="Q21" s="145">
        <v>0</v>
      </c>
      <c r="R21" s="145">
        <v>21</v>
      </c>
      <c r="S21" s="145">
        <v>7.54</v>
      </c>
      <c r="T21" s="570">
        <v>12</v>
      </c>
      <c r="U21" s="570">
        <v>0</v>
      </c>
      <c r="V21" s="570">
        <v>12</v>
      </c>
      <c r="W21" s="206">
        <v>3.28</v>
      </c>
      <c r="X21" s="554"/>
      <c r="Y21" s="554"/>
      <c r="Z21" s="554"/>
      <c r="AA21" s="554"/>
      <c r="AB21" s="557">
        <v>65</v>
      </c>
      <c r="AC21" s="557">
        <v>0</v>
      </c>
      <c r="AD21" s="557">
        <v>0</v>
      </c>
      <c r="AE21" s="557">
        <v>0</v>
      </c>
      <c r="AF21" s="33" t="s">
        <v>87</v>
      </c>
      <c r="AG21" s="431"/>
      <c r="AH21" s="145"/>
      <c r="AI21" s="145"/>
      <c r="AJ21" s="116"/>
    </row>
    <row r="22" spans="1:36" s="4" customFormat="1" ht="29.25" customHeight="1">
      <c r="A22" s="26"/>
      <c r="B22" s="1027" t="s">
        <v>30</v>
      </c>
      <c r="C22" s="1027"/>
      <c r="D22" s="691">
        <f>SUM(D19:D21)</f>
        <v>10</v>
      </c>
      <c r="E22" s="691">
        <f aca="true" t="shared" si="1" ref="E22:AE22">SUM(E19:E21)</f>
        <v>0</v>
      </c>
      <c r="F22" s="691">
        <f t="shared" si="1"/>
        <v>0</v>
      </c>
      <c r="G22" s="691">
        <f t="shared" si="1"/>
        <v>4.6</v>
      </c>
      <c r="H22" s="691">
        <f t="shared" si="1"/>
        <v>0</v>
      </c>
      <c r="I22" s="691">
        <f t="shared" si="1"/>
        <v>405</v>
      </c>
      <c r="J22" s="691">
        <f t="shared" si="1"/>
        <v>0</v>
      </c>
      <c r="K22" s="691">
        <f t="shared" si="1"/>
        <v>0</v>
      </c>
      <c r="L22" s="691">
        <f t="shared" si="1"/>
        <v>0</v>
      </c>
      <c r="M22" s="691">
        <f t="shared" si="1"/>
        <v>431</v>
      </c>
      <c r="N22" s="691">
        <f t="shared" si="1"/>
        <v>1</v>
      </c>
      <c r="O22" s="691">
        <f t="shared" si="1"/>
        <v>4.75</v>
      </c>
      <c r="P22" s="691">
        <f t="shared" si="1"/>
        <v>96</v>
      </c>
      <c r="Q22" s="691">
        <f t="shared" si="1"/>
        <v>0</v>
      </c>
      <c r="R22" s="691">
        <f t="shared" si="1"/>
        <v>189</v>
      </c>
      <c r="S22" s="691">
        <f t="shared" si="1"/>
        <v>25.07</v>
      </c>
      <c r="T22" s="691">
        <f t="shared" si="1"/>
        <v>12</v>
      </c>
      <c r="U22" s="691">
        <f t="shared" si="1"/>
        <v>0</v>
      </c>
      <c r="V22" s="691">
        <f t="shared" si="1"/>
        <v>12</v>
      </c>
      <c r="W22" s="691">
        <f t="shared" si="1"/>
        <v>3.28</v>
      </c>
      <c r="X22" s="691">
        <f t="shared" si="1"/>
        <v>0</v>
      </c>
      <c r="Y22" s="691">
        <f t="shared" si="1"/>
        <v>0</v>
      </c>
      <c r="Z22" s="691">
        <f t="shared" si="1"/>
        <v>9</v>
      </c>
      <c r="AA22" s="691">
        <f t="shared" si="1"/>
        <v>4</v>
      </c>
      <c r="AB22" s="691">
        <f t="shared" si="1"/>
        <v>65</v>
      </c>
      <c r="AC22" s="691">
        <f t="shared" si="1"/>
        <v>0</v>
      </c>
      <c r="AD22" s="691">
        <f t="shared" si="1"/>
        <v>0</v>
      </c>
      <c r="AE22" s="691">
        <f t="shared" si="1"/>
        <v>0</v>
      </c>
      <c r="AF22" s="686"/>
      <c r="AG22" s="686"/>
      <c r="AH22" s="686"/>
      <c r="AI22" s="686"/>
      <c r="AJ22" s="687"/>
    </row>
    <row r="23" spans="1:36" s="3" customFormat="1" ht="47.25" customHeight="1">
      <c r="A23" s="748" t="s">
        <v>181</v>
      </c>
      <c r="B23" s="152" t="s">
        <v>57</v>
      </c>
      <c r="C23" s="152" t="s">
        <v>58</v>
      </c>
      <c r="D23" s="422">
        <v>296</v>
      </c>
      <c r="E23" s="422">
        <v>0</v>
      </c>
      <c r="F23" s="422">
        <v>296</v>
      </c>
      <c r="G23" s="673">
        <v>24.27</v>
      </c>
      <c r="H23" s="563"/>
      <c r="I23" s="563"/>
      <c r="J23" s="563">
        <v>275</v>
      </c>
      <c r="K23" s="692">
        <v>4.62</v>
      </c>
      <c r="L23" s="55">
        <v>20</v>
      </c>
      <c r="M23" s="55">
        <v>0</v>
      </c>
      <c r="N23" s="2">
        <v>7</v>
      </c>
      <c r="O23" s="2">
        <v>3.79</v>
      </c>
      <c r="P23" s="2"/>
      <c r="Q23" s="2"/>
      <c r="R23" s="2"/>
      <c r="S23" s="2"/>
      <c r="T23" s="570"/>
      <c r="U23" s="570"/>
      <c r="V23" s="570">
        <v>300</v>
      </c>
      <c r="W23" s="217">
        <v>2.1</v>
      </c>
      <c r="X23" s="683">
        <v>300</v>
      </c>
      <c r="Y23" s="206">
        <v>0</v>
      </c>
      <c r="Z23" s="683">
        <v>250</v>
      </c>
      <c r="AA23" s="205" t="s">
        <v>873</v>
      </c>
      <c r="AB23" s="557">
        <v>20</v>
      </c>
      <c r="AC23" s="557">
        <v>0</v>
      </c>
      <c r="AD23" s="557">
        <v>160</v>
      </c>
      <c r="AE23" s="557">
        <v>4.8</v>
      </c>
      <c r="AF23" s="145" t="s">
        <v>37</v>
      </c>
      <c r="AG23" s="431" t="s">
        <v>49</v>
      </c>
      <c r="AH23" s="145" t="s">
        <v>59</v>
      </c>
      <c r="AI23" s="145" t="s">
        <v>306</v>
      </c>
      <c r="AJ23" s="116" t="s">
        <v>101</v>
      </c>
    </row>
    <row r="24" spans="1:36" s="3" customFormat="1" ht="32.25" customHeight="1">
      <c r="A24" s="748" t="s">
        <v>183</v>
      </c>
      <c r="B24" s="152" t="s">
        <v>57</v>
      </c>
      <c r="C24" s="152" t="s">
        <v>182</v>
      </c>
      <c r="D24" s="422">
        <v>100</v>
      </c>
      <c r="E24" s="422">
        <v>0</v>
      </c>
      <c r="F24" s="422">
        <v>100</v>
      </c>
      <c r="G24" s="673">
        <v>18.95</v>
      </c>
      <c r="H24" s="563"/>
      <c r="I24" s="563">
        <v>30</v>
      </c>
      <c r="J24" s="563">
        <v>180</v>
      </c>
      <c r="K24" s="692">
        <v>5.25</v>
      </c>
      <c r="L24" s="55"/>
      <c r="M24" s="55"/>
      <c r="N24" s="68">
        <v>2</v>
      </c>
      <c r="O24" s="68">
        <v>2.08</v>
      </c>
      <c r="P24" s="68"/>
      <c r="Q24" s="68"/>
      <c r="R24" s="68"/>
      <c r="S24" s="68"/>
      <c r="T24" s="570"/>
      <c r="U24" s="570"/>
      <c r="V24" s="570">
        <v>300</v>
      </c>
      <c r="W24" s="206">
        <v>13.5</v>
      </c>
      <c r="X24" s="683">
        <v>53</v>
      </c>
      <c r="Y24" s="206">
        <v>8</v>
      </c>
      <c r="Z24" s="683">
        <v>30</v>
      </c>
      <c r="AA24" s="205">
        <v>0.7</v>
      </c>
      <c r="AB24" s="557">
        <v>48</v>
      </c>
      <c r="AC24" s="557">
        <v>0</v>
      </c>
      <c r="AD24" s="557">
        <v>40</v>
      </c>
      <c r="AE24" s="678">
        <v>1.8</v>
      </c>
      <c r="AF24" s="145" t="s">
        <v>9</v>
      </c>
      <c r="AG24" s="431" t="s">
        <v>861</v>
      </c>
      <c r="AH24" s="33" t="s">
        <v>1164</v>
      </c>
      <c r="AI24" s="145" t="s">
        <v>306</v>
      </c>
      <c r="AJ24" s="116" t="s">
        <v>296</v>
      </c>
    </row>
    <row r="25" spans="1:36" s="3" customFormat="1" ht="31.5" customHeight="1">
      <c r="A25" s="748" t="s">
        <v>184</v>
      </c>
      <c r="B25" s="151" t="s">
        <v>52</v>
      </c>
      <c r="C25" s="152" t="s">
        <v>53</v>
      </c>
      <c r="D25" s="422">
        <v>18</v>
      </c>
      <c r="E25" s="422">
        <v>0</v>
      </c>
      <c r="F25" s="422">
        <v>20</v>
      </c>
      <c r="G25" s="673">
        <v>1.45</v>
      </c>
      <c r="H25" s="693"/>
      <c r="I25" s="613"/>
      <c r="J25" s="613">
        <v>20</v>
      </c>
      <c r="K25" s="613">
        <v>0.3</v>
      </c>
      <c r="L25" s="659"/>
      <c r="M25" s="659"/>
      <c r="N25" s="659"/>
      <c r="O25" s="659"/>
      <c r="P25" s="659"/>
      <c r="Q25" s="659"/>
      <c r="R25" s="659"/>
      <c r="S25" s="659"/>
      <c r="T25" s="570" t="s">
        <v>575</v>
      </c>
      <c r="U25" s="570"/>
      <c r="V25" s="570">
        <v>12</v>
      </c>
      <c r="W25" s="217">
        <v>0.2</v>
      </c>
      <c r="X25" s="623"/>
      <c r="Y25" s="623"/>
      <c r="Z25" s="621"/>
      <c r="AA25" s="623"/>
      <c r="AB25" s="557">
        <v>0</v>
      </c>
      <c r="AC25" s="557">
        <v>0</v>
      </c>
      <c r="AD25" s="557">
        <v>25</v>
      </c>
      <c r="AE25" s="557">
        <v>0.3</v>
      </c>
      <c r="AF25" s="145" t="s">
        <v>35</v>
      </c>
      <c r="AG25" s="431">
        <v>30</v>
      </c>
      <c r="AH25" s="145" t="s">
        <v>54</v>
      </c>
      <c r="AI25" s="145" t="s">
        <v>306</v>
      </c>
      <c r="AJ25" s="116" t="s">
        <v>575</v>
      </c>
    </row>
    <row r="26" spans="1:36" s="3" customFormat="1" ht="41.25" customHeight="1">
      <c r="A26" s="748" t="s">
        <v>186</v>
      </c>
      <c r="B26" s="151" t="s">
        <v>48</v>
      </c>
      <c r="C26" s="152" t="s">
        <v>95</v>
      </c>
      <c r="D26" s="422">
        <v>54</v>
      </c>
      <c r="E26" s="422">
        <v>0</v>
      </c>
      <c r="F26" s="422">
        <v>54</v>
      </c>
      <c r="G26" s="673">
        <v>4.7</v>
      </c>
      <c r="H26" s="693"/>
      <c r="I26" s="613"/>
      <c r="J26" s="613">
        <v>165</v>
      </c>
      <c r="K26" s="613">
        <v>2.1</v>
      </c>
      <c r="L26" s="694"/>
      <c r="M26" s="694"/>
      <c r="N26" s="694"/>
      <c r="O26" s="694"/>
      <c r="P26" s="694"/>
      <c r="Q26" s="694"/>
      <c r="R26" s="694"/>
      <c r="S26" s="694"/>
      <c r="T26" s="570" t="s">
        <v>575</v>
      </c>
      <c r="U26" s="570"/>
      <c r="V26" s="570">
        <v>10</v>
      </c>
      <c r="W26" s="217">
        <v>3.92</v>
      </c>
      <c r="X26" s="623"/>
      <c r="Y26" s="623"/>
      <c r="Z26" s="623"/>
      <c r="AA26" s="623"/>
      <c r="AB26" s="557">
        <v>96</v>
      </c>
      <c r="AC26" s="557">
        <v>23</v>
      </c>
      <c r="AD26" s="557">
        <v>240</v>
      </c>
      <c r="AE26" s="695">
        <v>1</v>
      </c>
      <c r="AF26" s="145" t="s">
        <v>37</v>
      </c>
      <c r="AG26" s="431">
        <v>20</v>
      </c>
      <c r="AH26" s="145" t="s">
        <v>297</v>
      </c>
      <c r="AI26" s="145" t="s">
        <v>306</v>
      </c>
      <c r="AJ26" s="116" t="s">
        <v>575</v>
      </c>
    </row>
    <row r="27" spans="1:36" s="3" customFormat="1" ht="40.5" customHeight="1">
      <c r="A27" s="748" t="s">
        <v>185</v>
      </c>
      <c r="B27" s="151" t="s">
        <v>180</v>
      </c>
      <c r="C27" s="152" t="s">
        <v>55</v>
      </c>
      <c r="D27" s="422">
        <v>84</v>
      </c>
      <c r="E27" s="422">
        <v>0</v>
      </c>
      <c r="F27" s="422">
        <v>84</v>
      </c>
      <c r="G27" s="673">
        <v>5.49</v>
      </c>
      <c r="H27" s="693"/>
      <c r="I27" s="613"/>
      <c r="J27" s="613">
        <v>40</v>
      </c>
      <c r="K27" s="613">
        <v>0.42</v>
      </c>
      <c r="L27" s="694"/>
      <c r="M27" s="694"/>
      <c r="N27" s="694"/>
      <c r="O27" s="694"/>
      <c r="P27" s="694"/>
      <c r="Q27" s="694"/>
      <c r="R27" s="694"/>
      <c r="S27" s="694"/>
      <c r="T27" s="570" t="s">
        <v>575</v>
      </c>
      <c r="U27" s="570"/>
      <c r="V27" s="570">
        <v>10</v>
      </c>
      <c r="W27" s="217">
        <v>1.96</v>
      </c>
      <c r="X27" s="694"/>
      <c r="Y27" s="694"/>
      <c r="Z27" s="694"/>
      <c r="AA27" s="694"/>
      <c r="AB27" s="694"/>
      <c r="AC27" s="694"/>
      <c r="AD27" s="694"/>
      <c r="AE27" s="694"/>
      <c r="AF27" s="145" t="s">
        <v>35</v>
      </c>
      <c r="AG27" s="431">
        <v>20</v>
      </c>
      <c r="AH27" s="145" t="s">
        <v>56</v>
      </c>
      <c r="AI27" s="145" t="s">
        <v>306</v>
      </c>
      <c r="AJ27" s="116" t="s">
        <v>101</v>
      </c>
    </row>
    <row r="28" spans="1:36" s="3" customFormat="1" ht="40.5" customHeight="1">
      <c r="A28" s="748" t="s">
        <v>883</v>
      </c>
      <c r="B28" s="33" t="s">
        <v>1155</v>
      </c>
      <c r="C28" s="103" t="s">
        <v>575</v>
      </c>
      <c r="D28" s="422">
        <v>35</v>
      </c>
      <c r="E28" s="422">
        <v>0</v>
      </c>
      <c r="F28" s="422">
        <v>35</v>
      </c>
      <c r="G28" s="673">
        <v>4.2</v>
      </c>
      <c r="H28" s="696"/>
      <c r="I28" s="689"/>
      <c r="J28" s="689">
        <v>365</v>
      </c>
      <c r="K28" s="689">
        <v>3.65</v>
      </c>
      <c r="L28" s="694"/>
      <c r="M28" s="694"/>
      <c r="N28" s="694"/>
      <c r="O28" s="694"/>
      <c r="P28" s="694"/>
      <c r="Q28" s="694"/>
      <c r="R28" s="694"/>
      <c r="S28" s="694"/>
      <c r="T28" s="694"/>
      <c r="U28" s="694"/>
      <c r="V28" s="694"/>
      <c r="W28" s="694"/>
      <c r="X28" s="694"/>
      <c r="Y28" s="694"/>
      <c r="Z28" s="694"/>
      <c r="AA28" s="694"/>
      <c r="AB28" s="694"/>
      <c r="AC28" s="694"/>
      <c r="AD28" s="694"/>
      <c r="AE28" s="694"/>
      <c r="AF28" s="145"/>
      <c r="AG28" s="431"/>
      <c r="AH28" s="145"/>
      <c r="AI28" s="145"/>
      <c r="AJ28" s="119" t="s">
        <v>575</v>
      </c>
    </row>
    <row r="29" spans="1:36" s="3" customFormat="1" ht="40.5" customHeight="1">
      <c r="A29" s="748" t="s">
        <v>570</v>
      </c>
      <c r="B29" s="1173" t="s">
        <v>232</v>
      </c>
      <c r="C29" s="92" t="s">
        <v>571</v>
      </c>
      <c r="D29" s="423">
        <v>24</v>
      </c>
      <c r="E29" s="423">
        <v>22</v>
      </c>
      <c r="F29" s="684"/>
      <c r="G29" s="684"/>
      <c r="H29" s="684"/>
      <c r="I29" s="684">
        <v>83</v>
      </c>
      <c r="J29" s="684">
        <v>144</v>
      </c>
      <c r="K29" s="684">
        <v>2.57</v>
      </c>
      <c r="L29" s="68"/>
      <c r="M29" s="68"/>
      <c r="N29" s="68">
        <v>60</v>
      </c>
      <c r="O29" s="68">
        <v>3</v>
      </c>
      <c r="P29" s="68"/>
      <c r="Q29" s="68"/>
      <c r="R29" s="68"/>
      <c r="S29" s="68"/>
      <c r="T29" s="68"/>
      <c r="U29" s="68"/>
      <c r="V29" s="68"/>
      <c r="W29" s="68"/>
      <c r="X29" s="206">
        <v>29</v>
      </c>
      <c r="Y29" s="206">
        <v>304</v>
      </c>
      <c r="Z29" s="206">
        <v>60</v>
      </c>
      <c r="AA29" s="206">
        <v>14</v>
      </c>
      <c r="AB29" s="206"/>
      <c r="AC29" s="206"/>
      <c r="AD29" s="206"/>
      <c r="AE29" s="206"/>
      <c r="AF29" s="145" t="s">
        <v>71</v>
      </c>
      <c r="AG29" s="145"/>
      <c r="AH29" s="33" t="s">
        <v>1164</v>
      </c>
      <c r="AI29" s="55" t="s">
        <v>548</v>
      </c>
      <c r="AJ29" s="119" t="s">
        <v>306</v>
      </c>
    </row>
    <row r="30" spans="1:36" s="3" customFormat="1" ht="49.5" customHeight="1">
      <c r="A30" s="749" t="s">
        <v>231</v>
      </c>
      <c r="B30" s="1174"/>
      <c r="C30" s="152" t="s">
        <v>159</v>
      </c>
      <c r="D30" s="423">
        <v>53</v>
      </c>
      <c r="E30" s="423">
        <v>0</v>
      </c>
      <c r="F30" s="689"/>
      <c r="G30" s="689"/>
      <c r="H30" s="689"/>
      <c r="I30" s="689"/>
      <c r="J30" s="689">
        <v>14</v>
      </c>
      <c r="K30" s="689">
        <v>57.09</v>
      </c>
      <c r="L30" s="471"/>
      <c r="M30" s="471"/>
      <c r="N30" s="471">
        <v>3</v>
      </c>
      <c r="O30" s="471">
        <v>9.3</v>
      </c>
      <c r="P30" s="471"/>
      <c r="Q30" s="471"/>
      <c r="R30" s="471"/>
      <c r="S30" s="471"/>
      <c r="T30" s="471"/>
      <c r="U30" s="471"/>
      <c r="V30" s="471"/>
      <c r="W30" s="471"/>
      <c r="X30" s="623"/>
      <c r="Y30" s="623"/>
      <c r="Z30" s="623"/>
      <c r="AA30" s="623"/>
      <c r="AB30" s="623"/>
      <c r="AC30" s="623"/>
      <c r="AD30" s="623"/>
      <c r="AE30" s="623"/>
      <c r="AF30" s="145" t="s">
        <v>233</v>
      </c>
      <c r="AG30" s="431" t="s">
        <v>575</v>
      </c>
      <c r="AH30" s="145" t="s">
        <v>320</v>
      </c>
      <c r="AI30" s="145" t="s">
        <v>306</v>
      </c>
      <c r="AJ30" s="116" t="s">
        <v>323</v>
      </c>
    </row>
    <row r="31" spans="1:36" s="3" customFormat="1" ht="29.25" customHeight="1" hidden="1">
      <c r="A31" s="1151" t="s">
        <v>237</v>
      </c>
      <c r="B31" s="1215" t="s">
        <v>241</v>
      </c>
      <c r="C31" s="152" t="s">
        <v>242</v>
      </c>
      <c r="D31" s="410"/>
      <c r="E31" s="410"/>
      <c r="F31" s="410"/>
      <c r="G31" s="410"/>
      <c r="H31" s="410"/>
      <c r="I31" s="410"/>
      <c r="J31" s="410"/>
      <c r="K31" s="410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218">
        <v>28</v>
      </c>
      <c r="W31" s="1211">
        <v>1.49</v>
      </c>
      <c r="X31" s="1211">
        <v>5</v>
      </c>
      <c r="Y31" s="1211">
        <v>52</v>
      </c>
      <c r="Z31" s="1211">
        <v>150</v>
      </c>
      <c r="AA31" s="1211">
        <v>2.5</v>
      </c>
      <c r="AB31" s="152"/>
      <c r="AC31" s="152"/>
      <c r="AD31" s="152"/>
      <c r="AE31" s="152"/>
      <c r="AF31" s="145" t="s">
        <v>301</v>
      </c>
      <c r="AG31" s="1031" t="s">
        <v>1168</v>
      </c>
      <c r="AH31" s="1031" t="s">
        <v>13</v>
      </c>
      <c r="AI31" s="1031" t="s">
        <v>306</v>
      </c>
      <c r="AJ31" s="1177" t="s">
        <v>322</v>
      </c>
    </row>
    <row r="32" spans="1:36" s="3" customFormat="1" ht="29.25" customHeight="1" hidden="1">
      <c r="A32" s="1152"/>
      <c r="B32" s="1216"/>
      <c r="C32" s="152" t="s">
        <v>238</v>
      </c>
      <c r="D32" s="411"/>
      <c r="E32" s="411"/>
      <c r="F32" s="411"/>
      <c r="G32" s="411"/>
      <c r="H32" s="411"/>
      <c r="I32" s="411"/>
      <c r="J32" s="411"/>
      <c r="K32" s="411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219"/>
      <c r="W32" s="1212"/>
      <c r="X32" s="1212"/>
      <c r="Y32" s="1212"/>
      <c r="Z32" s="1212"/>
      <c r="AA32" s="1212"/>
      <c r="AB32" s="152"/>
      <c r="AC32" s="152"/>
      <c r="AD32" s="152"/>
      <c r="AE32" s="152"/>
      <c r="AF32" s="145" t="s">
        <v>301</v>
      </c>
      <c r="AG32" s="1032"/>
      <c r="AH32" s="1032"/>
      <c r="AI32" s="1032"/>
      <c r="AJ32" s="1178"/>
    </row>
    <row r="33" spans="1:36" s="3" customFormat="1" ht="29.25" customHeight="1" hidden="1">
      <c r="A33" s="1152"/>
      <c r="B33" s="1216"/>
      <c r="C33" s="152" t="s">
        <v>239</v>
      </c>
      <c r="D33" s="411"/>
      <c r="E33" s="411"/>
      <c r="F33" s="411"/>
      <c r="G33" s="411"/>
      <c r="H33" s="411"/>
      <c r="I33" s="411"/>
      <c r="J33" s="411"/>
      <c r="K33" s="411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219"/>
      <c r="W33" s="1212"/>
      <c r="X33" s="1212"/>
      <c r="Y33" s="1212"/>
      <c r="Z33" s="1212"/>
      <c r="AA33" s="1212"/>
      <c r="AB33" s="152"/>
      <c r="AC33" s="152"/>
      <c r="AD33" s="152"/>
      <c r="AE33" s="152"/>
      <c r="AF33" s="145" t="s">
        <v>301</v>
      </c>
      <c r="AG33" s="1032"/>
      <c r="AH33" s="1032"/>
      <c r="AI33" s="1032"/>
      <c r="AJ33" s="1178"/>
    </row>
    <row r="34" spans="1:36" s="3" customFormat="1" ht="29.25" customHeight="1">
      <c r="A34" s="1152"/>
      <c r="B34" s="1217"/>
      <c r="C34" s="152" t="s">
        <v>240</v>
      </c>
      <c r="D34" s="423">
        <v>298</v>
      </c>
      <c r="E34" s="423" t="s">
        <v>1169</v>
      </c>
      <c r="F34" s="689"/>
      <c r="G34" s="689"/>
      <c r="H34" s="689"/>
      <c r="I34" s="689"/>
      <c r="J34" s="689"/>
      <c r="K34" s="689"/>
      <c r="L34" s="152"/>
      <c r="M34" s="152"/>
      <c r="N34" s="152">
        <v>7</v>
      </c>
      <c r="O34" s="152">
        <v>1.52</v>
      </c>
      <c r="P34" s="152"/>
      <c r="Q34" s="152"/>
      <c r="R34" s="152"/>
      <c r="S34" s="152"/>
      <c r="T34" s="152"/>
      <c r="U34" s="152"/>
      <c r="V34" s="1219"/>
      <c r="W34" s="1212"/>
      <c r="X34" s="1212"/>
      <c r="Y34" s="1212"/>
      <c r="Z34" s="1212"/>
      <c r="AA34" s="1212"/>
      <c r="AB34" s="152"/>
      <c r="AC34" s="152"/>
      <c r="AD34" s="152"/>
      <c r="AE34" s="152"/>
      <c r="AF34" s="145" t="s">
        <v>301</v>
      </c>
      <c r="AG34" s="1033"/>
      <c r="AH34" s="1033"/>
      <c r="AI34" s="1033"/>
      <c r="AJ34" s="1179"/>
    </row>
    <row r="35" spans="1:36" s="3" customFormat="1" ht="29.25" customHeight="1">
      <c r="A35" s="1152"/>
      <c r="B35" s="1160" t="s">
        <v>246</v>
      </c>
      <c r="C35" s="152" t="s">
        <v>243</v>
      </c>
      <c r="D35" s="689"/>
      <c r="E35" s="689"/>
      <c r="F35" s="689"/>
      <c r="G35" s="689"/>
      <c r="H35" s="689"/>
      <c r="I35" s="689"/>
      <c r="J35" s="689"/>
      <c r="K35" s="689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219"/>
      <c r="W35" s="1212"/>
      <c r="X35" s="1212"/>
      <c r="Y35" s="1212"/>
      <c r="Z35" s="1212"/>
      <c r="AA35" s="1212"/>
      <c r="AB35" s="152"/>
      <c r="AC35" s="152"/>
      <c r="AD35" s="152"/>
      <c r="AE35" s="152"/>
      <c r="AF35" s="145" t="s">
        <v>301</v>
      </c>
      <c r="AG35" s="1200" t="s">
        <v>549</v>
      </c>
      <c r="AH35" s="145" t="s">
        <v>311</v>
      </c>
      <c r="AI35" s="145" t="s">
        <v>306</v>
      </c>
      <c r="AJ35" s="116" t="s">
        <v>325</v>
      </c>
    </row>
    <row r="36" spans="1:36" s="3" customFormat="1" ht="29.25" customHeight="1">
      <c r="A36" s="1152"/>
      <c r="B36" s="1160"/>
      <c r="C36" s="152" t="s">
        <v>244</v>
      </c>
      <c r="D36" s="689"/>
      <c r="E36" s="689"/>
      <c r="F36" s="689"/>
      <c r="G36" s="689"/>
      <c r="H36" s="689"/>
      <c r="I36" s="689"/>
      <c r="J36" s="689"/>
      <c r="K36" s="689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219"/>
      <c r="W36" s="1212"/>
      <c r="X36" s="1212"/>
      <c r="Y36" s="1212"/>
      <c r="Z36" s="1212"/>
      <c r="AA36" s="1212"/>
      <c r="AB36" s="152"/>
      <c r="AC36" s="152"/>
      <c r="AD36" s="152"/>
      <c r="AE36" s="152"/>
      <c r="AF36" s="145" t="s">
        <v>301</v>
      </c>
      <c r="AG36" s="1117"/>
      <c r="AH36" s="145" t="s">
        <v>311</v>
      </c>
      <c r="AI36" s="145" t="s">
        <v>306</v>
      </c>
      <c r="AJ36" s="116" t="s">
        <v>325</v>
      </c>
    </row>
    <row r="37" spans="1:36" s="3" customFormat="1" ht="36.75" customHeight="1" hidden="1">
      <c r="A37" s="1153"/>
      <c r="B37" s="147" t="s">
        <v>247</v>
      </c>
      <c r="C37" s="152" t="s">
        <v>245</v>
      </c>
      <c r="D37" s="689"/>
      <c r="E37" s="689"/>
      <c r="F37" s="146"/>
      <c r="G37" s="146"/>
      <c r="H37" s="146"/>
      <c r="I37" s="146"/>
      <c r="J37" s="146"/>
      <c r="K37" s="146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220"/>
      <c r="W37" s="1213"/>
      <c r="X37" s="1213"/>
      <c r="Y37" s="1213"/>
      <c r="Z37" s="1213"/>
      <c r="AA37" s="1213"/>
      <c r="AB37" s="152"/>
      <c r="AC37" s="152"/>
      <c r="AD37" s="152"/>
      <c r="AE37" s="152"/>
      <c r="AF37" s="145" t="s">
        <v>41</v>
      </c>
      <c r="AG37" s="145">
        <v>30</v>
      </c>
      <c r="AH37" s="145" t="s">
        <v>16</v>
      </c>
      <c r="AI37" s="145" t="s">
        <v>306</v>
      </c>
      <c r="AJ37" s="116" t="s">
        <v>326</v>
      </c>
    </row>
    <row r="38" spans="1:36" s="3" customFormat="1" ht="36.75" customHeight="1">
      <c r="A38" s="750" t="s">
        <v>741</v>
      </c>
      <c r="B38" s="1221" t="s">
        <v>742</v>
      </c>
      <c r="C38" s="699" t="s">
        <v>1170</v>
      </c>
      <c r="D38" s="689"/>
      <c r="E38" s="689"/>
      <c r="F38" s="699"/>
      <c r="G38" s="699"/>
      <c r="H38" s="699"/>
      <c r="I38" s="699"/>
      <c r="J38" s="699"/>
      <c r="K38" s="699"/>
      <c r="L38" s="699"/>
      <c r="M38" s="699"/>
      <c r="N38" s="68">
        <v>5</v>
      </c>
      <c r="O38" s="68">
        <v>1.14</v>
      </c>
      <c r="P38" s="68"/>
      <c r="Q38" s="68"/>
      <c r="R38" s="68"/>
      <c r="S38" s="68"/>
      <c r="T38" s="570"/>
      <c r="U38" s="570"/>
      <c r="V38" s="570">
        <v>28</v>
      </c>
      <c r="W38" s="700">
        <v>0.9</v>
      </c>
      <c r="X38" s="206">
        <v>20</v>
      </c>
      <c r="Y38" s="206">
        <v>50</v>
      </c>
      <c r="Z38" s="206">
        <v>600</v>
      </c>
      <c r="AA38" s="206">
        <v>6</v>
      </c>
      <c r="AB38" s="206"/>
      <c r="AC38" s="206"/>
      <c r="AD38" s="206"/>
      <c r="AE38" s="206"/>
      <c r="AF38" s="595" t="s">
        <v>15</v>
      </c>
      <c r="AG38" s="148"/>
      <c r="AH38" s="595" t="s">
        <v>64</v>
      </c>
      <c r="AI38" s="701" t="s">
        <v>306</v>
      </c>
      <c r="AJ38" s="702" t="s">
        <v>306</v>
      </c>
    </row>
    <row r="39" spans="1:36" s="3" customFormat="1" ht="36.75" customHeight="1">
      <c r="A39" s="750" t="s">
        <v>741</v>
      </c>
      <c r="B39" s="1222"/>
      <c r="C39" s="423" t="s">
        <v>1171</v>
      </c>
      <c r="D39" s="689">
        <v>140</v>
      </c>
      <c r="E39" s="689">
        <v>97</v>
      </c>
      <c r="F39" s="703"/>
      <c r="G39" s="703"/>
      <c r="H39" s="703"/>
      <c r="I39" s="703"/>
      <c r="J39" s="703"/>
      <c r="K39" s="703"/>
      <c r="L39" s="703"/>
      <c r="M39" s="703"/>
      <c r="N39" s="140"/>
      <c r="O39" s="140"/>
      <c r="P39" s="140"/>
      <c r="Q39" s="140"/>
      <c r="R39" s="140"/>
      <c r="S39" s="140"/>
      <c r="T39" s="697"/>
      <c r="U39" s="697"/>
      <c r="V39" s="697"/>
      <c r="W39" s="704"/>
      <c r="X39" s="698"/>
      <c r="Y39" s="698"/>
      <c r="Z39" s="698"/>
      <c r="AA39" s="698"/>
      <c r="AB39" s="698"/>
      <c r="AC39" s="698"/>
      <c r="AD39" s="698"/>
      <c r="AE39" s="698"/>
      <c r="AF39" s="595" t="s">
        <v>15</v>
      </c>
      <c r="AG39" s="148" t="s">
        <v>575</v>
      </c>
      <c r="AH39" s="595"/>
      <c r="AI39" s="701"/>
      <c r="AJ39" s="702"/>
    </row>
    <row r="40" spans="1:36" s="3" customFormat="1" ht="36.75" customHeight="1">
      <c r="A40" s="750" t="s">
        <v>744</v>
      </c>
      <c r="B40" s="705" t="s">
        <v>745</v>
      </c>
      <c r="C40" s="699" t="s">
        <v>746</v>
      </c>
      <c r="D40" s="423">
        <v>3761</v>
      </c>
      <c r="E40" s="423">
        <v>3862</v>
      </c>
      <c r="F40" s="703"/>
      <c r="G40" s="703"/>
      <c r="H40" s="703"/>
      <c r="I40" s="703"/>
      <c r="J40" s="703"/>
      <c r="K40" s="703"/>
      <c r="L40" s="703"/>
      <c r="M40" s="703"/>
      <c r="N40" s="703"/>
      <c r="O40" s="703"/>
      <c r="P40" s="703"/>
      <c r="Q40" s="703"/>
      <c r="R40" s="703"/>
      <c r="S40" s="703"/>
      <c r="T40" s="703"/>
      <c r="U40" s="703"/>
      <c r="V40" s="703"/>
      <c r="W40" s="703"/>
      <c r="X40" s="703"/>
      <c r="Y40" s="703"/>
      <c r="Z40" s="703"/>
      <c r="AA40" s="703"/>
      <c r="AB40" s="703"/>
      <c r="AC40" s="703"/>
      <c r="AD40" s="703"/>
      <c r="AE40" s="703"/>
      <c r="AF40" s="595" t="s">
        <v>747</v>
      </c>
      <c r="AG40" s="148"/>
      <c r="AH40" s="595" t="s">
        <v>1086</v>
      </c>
      <c r="AI40" s="701" t="s">
        <v>306</v>
      </c>
      <c r="AJ40" s="702" t="s">
        <v>306</v>
      </c>
    </row>
    <row r="41" spans="1:36" s="4" customFormat="1" ht="16.5" thickBot="1">
      <c r="A41" s="245"/>
      <c r="B41" s="1129" t="s">
        <v>30</v>
      </c>
      <c r="C41" s="1129"/>
      <c r="D41" s="154">
        <f>SUM(D23:D40)</f>
        <v>4863</v>
      </c>
      <c r="E41" s="154">
        <f aca="true" t="shared" si="2" ref="E41:AE41">SUM(E23:E40)</f>
        <v>3981</v>
      </c>
      <c r="F41" s="154">
        <f t="shared" si="2"/>
        <v>589</v>
      </c>
      <c r="G41" s="154">
        <f t="shared" si="2"/>
        <v>59.06000000000001</v>
      </c>
      <c r="H41" s="154">
        <f>SUM(H23:H40)</f>
        <v>0</v>
      </c>
      <c r="I41" s="154">
        <f>SUM(I23:I40)</f>
        <v>113</v>
      </c>
      <c r="J41" s="154">
        <f>SUM(J23:J40)</f>
        <v>1203</v>
      </c>
      <c r="K41" s="154">
        <f>SUM(K23:K40)</f>
        <v>76</v>
      </c>
      <c r="L41" s="154">
        <f t="shared" si="2"/>
        <v>20</v>
      </c>
      <c r="M41" s="154">
        <f t="shared" si="2"/>
        <v>0</v>
      </c>
      <c r="N41" s="154">
        <f t="shared" si="2"/>
        <v>84</v>
      </c>
      <c r="O41" s="154">
        <f t="shared" si="2"/>
        <v>20.830000000000002</v>
      </c>
      <c r="P41" s="154">
        <f t="shared" si="2"/>
        <v>0</v>
      </c>
      <c r="Q41" s="154">
        <f t="shared" si="2"/>
        <v>0</v>
      </c>
      <c r="R41" s="154">
        <f t="shared" si="2"/>
        <v>0</v>
      </c>
      <c r="S41" s="154">
        <f t="shared" si="2"/>
        <v>0</v>
      </c>
      <c r="T41" s="154">
        <f t="shared" si="2"/>
        <v>0</v>
      </c>
      <c r="U41" s="154">
        <f t="shared" si="2"/>
        <v>0</v>
      </c>
      <c r="V41" s="154">
        <f t="shared" si="2"/>
        <v>688</v>
      </c>
      <c r="W41" s="154">
        <f t="shared" si="2"/>
        <v>24.069999999999997</v>
      </c>
      <c r="X41" s="154">
        <f t="shared" si="2"/>
        <v>407</v>
      </c>
      <c r="Y41" s="154">
        <f t="shared" si="2"/>
        <v>414</v>
      </c>
      <c r="Z41" s="154">
        <f t="shared" si="2"/>
        <v>1090</v>
      </c>
      <c r="AA41" s="154">
        <f t="shared" si="2"/>
        <v>23.2</v>
      </c>
      <c r="AB41" s="154">
        <f t="shared" si="2"/>
        <v>164</v>
      </c>
      <c r="AC41" s="154">
        <f t="shared" si="2"/>
        <v>23</v>
      </c>
      <c r="AD41" s="154">
        <f t="shared" si="2"/>
        <v>465</v>
      </c>
      <c r="AE41" s="154">
        <f t="shared" si="2"/>
        <v>7.8999999999999995</v>
      </c>
      <c r="AF41" s="706"/>
      <c r="AG41" s="707"/>
      <c r="AH41" s="707"/>
      <c r="AI41" s="707"/>
      <c r="AJ41" s="708"/>
    </row>
    <row r="42" spans="1:36" s="4" customFormat="1" ht="27.75" customHeight="1" thickBot="1">
      <c r="A42" s="249"/>
      <c r="B42" s="1223" t="s">
        <v>17</v>
      </c>
      <c r="C42" s="1224"/>
      <c r="D42" s="711">
        <f>SUM(D18,D22,D41)</f>
        <v>5092</v>
      </c>
      <c r="E42" s="711">
        <f aca="true" t="shared" si="3" ref="E42:AE42">SUM(E18,E22,E41)</f>
        <v>4116</v>
      </c>
      <c r="F42" s="711">
        <f t="shared" si="3"/>
        <v>869</v>
      </c>
      <c r="G42" s="711">
        <f t="shared" si="3"/>
        <v>153.96</v>
      </c>
      <c r="H42" s="711">
        <f t="shared" si="3"/>
        <v>0</v>
      </c>
      <c r="I42" s="711">
        <f t="shared" si="3"/>
        <v>649</v>
      </c>
      <c r="J42" s="711">
        <f t="shared" si="3"/>
        <v>1581</v>
      </c>
      <c r="K42" s="711">
        <f t="shared" si="3"/>
        <v>89.95</v>
      </c>
      <c r="L42" s="711">
        <f t="shared" si="3"/>
        <v>300</v>
      </c>
      <c r="M42" s="711">
        <f t="shared" si="3"/>
        <v>431</v>
      </c>
      <c r="N42" s="711">
        <f t="shared" si="3"/>
        <v>109</v>
      </c>
      <c r="O42" s="711">
        <f t="shared" si="3"/>
        <v>37.08</v>
      </c>
      <c r="P42" s="711">
        <f t="shared" si="3"/>
        <v>462</v>
      </c>
      <c r="Q42" s="711">
        <f t="shared" si="3"/>
        <v>20</v>
      </c>
      <c r="R42" s="711">
        <f t="shared" si="3"/>
        <v>639</v>
      </c>
      <c r="S42" s="711">
        <f t="shared" si="3"/>
        <v>107.36000000000001</v>
      </c>
      <c r="T42" s="711">
        <f t="shared" si="3"/>
        <v>471</v>
      </c>
      <c r="U42" s="711">
        <f t="shared" si="3"/>
        <v>0</v>
      </c>
      <c r="V42" s="711">
        <f t="shared" si="3"/>
        <v>1158</v>
      </c>
      <c r="W42" s="711">
        <f t="shared" si="3"/>
        <v>57.94</v>
      </c>
      <c r="X42" s="711">
        <f t="shared" si="3"/>
        <v>815</v>
      </c>
      <c r="Y42" s="711">
        <f t="shared" si="3"/>
        <v>474</v>
      </c>
      <c r="Z42" s="711">
        <f t="shared" si="3"/>
        <v>1499</v>
      </c>
      <c r="AA42" s="711">
        <f t="shared" si="3"/>
        <v>46.66</v>
      </c>
      <c r="AB42" s="711">
        <f t="shared" si="3"/>
        <v>585</v>
      </c>
      <c r="AC42" s="711">
        <f t="shared" si="3"/>
        <v>118</v>
      </c>
      <c r="AD42" s="711">
        <f t="shared" si="3"/>
        <v>1169</v>
      </c>
      <c r="AE42" s="711">
        <f t="shared" si="3"/>
        <v>60.12</v>
      </c>
      <c r="AF42" s="710"/>
      <c r="AG42" s="710"/>
      <c r="AH42" s="710"/>
      <c r="AI42" s="710"/>
      <c r="AJ42" s="712"/>
    </row>
    <row r="43" ht="15.75">
      <c r="B43" s="19"/>
    </row>
  </sheetData>
  <sheetProtection/>
  <mergeCells count="60">
    <mergeCell ref="B38:B39"/>
    <mergeCell ref="B41:C41"/>
    <mergeCell ref="B42:C42"/>
    <mergeCell ref="AG31:AG34"/>
    <mergeCell ref="AH31:AH34"/>
    <mergeCell ref="AI31:AI34"/>
    <mergeCell ref="AJ31:AJ34"/>
    <mergeCell ref="B35:B36"/>
    <mergeCell ref="AG35:AG36"/>
    <mergeCell ref="A31:A37"/>
    <mergeCell ref="B31:B34"/>
    <mergeCell ref="V31:V37"/>
    <mergeCell ref="W31:W37"/>
    <mergeCell ref="X31:X37"/>
    <mergeCell ref="Y31:Y37"/>
    <mergeCell ref="AB3:AF3"/>
    <mergeCell ref="AG3:AJ3"/>
    <mergeCell ref="C6:C8"/>
    <mergeCell ref="C9:C11"/>
    <mergeCell ref="C12:C13"/>
    <mergeCell ref="C14:C15"/>
    <mergeCell ref="N15:O15"/>
    <mergeCell ref="AF4:AF5"/>
    <mergeCell ref="AG4:AG5"/>
    <mergeCell ref="AH4:AH5"/>
    <mergeCell ref="B18:C18"/>
    <mergeCell ref="B22:C22"/>
    <mergeCell ref="B29:B30"/>
    <mergeCell ref="Z31:Z37"/>
    <mergeCell ref="AA31:AA37"/>
    <mergeCell ref="AJ4:AJ5"/>
    <mergeCell ref="N6:O6"/>
    <mergeCell ref="N12:O12"/>
    <mergeCell ref="AB4:AC4"/>
    <mergeCell ref="AD4:AE4"/>
    <mergeCell ref="AI4:AI5"/>
    <mergeCell ref="P4:Q4"/>
    <mergeCell ref="R4:S4"/>
    <mergeCell ref="T4:U4"/>
    <mergeCell ref="V4:W4"/>
    <mergeCell ref="X4:Y4"/>
    <mergeCell ref="Z4:AA4"/>
    <mergeCell ref="L3:O3"/>
    <mergeCell ref="P3:S3"/>
    <mergeCell ref="A4:A5"/>
    <mergeCell ref="B4:B5"/>
    <mergeCell ref="C4:C5"/>
    <mergeCell ref="D4:E4"/>
    <mergeCell ref="F4:G4"/>
    <mergeCell ref="H4:I4"/>
    <mergeCell ref="T3:W3"/>
    <mergeCell ref="X3:AA3"/>
    <mergeCell ref="J4:K4"/>
    <mergeCell ref="L4:M4"/>
    <mergeCell ref="N4:O4"/>
    <mergeCell ref="A1:AJ1"/>
    <mergeCell ref="A2:AJ2"/>
    <mergeCell ref="A3:C3"/>
    <mergeCell ref="D3:G3"/>
    <mergeCell ref="H3:K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60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36.8515625" defaultRowHeight="15"/>
  <cols>
    <col min="1" max="1" width="15.28125" style="611" customWidth="1"/>
    <col min="2" max="2" width="25.421875" style="7" customWidth="1"/>
    <col min="3" max="3" width="21.7109375" style="27" customWidth="1"/>
    <col min="4" max="31" width="6.8515625" style="27" customWidth="1"/>
    <col min="32" max="32" width="10.57421875" style="12" customWidth="1"/>
    <col min="33" max="33" width="24.140625" style="12" customWidth="1"/>
    <col min="34" max="34" width="23.7109375" style="12" customWidth="1"/>
    <col min="35" max="35" width="12.7109375" style="12" customWidth="1"/>
    <col min="36" max="36" width="40.140625" style="12" customWidth="1"/>
    <col min="37" max="37" width="0" style="8" hidden="1" customWidth="1"/>
    <col min="38" max="16384" width="36.8515625" style="8" customWidth="1"/>
  </cols>
  <sheetData>
    <row r="1" spans="1:37" s="4" customFormat="1" ht="23.25" customHeight="1" thickBot="1">
      <c r="A1" s="1225" t="s">
        <v>42</v>
      </c>
      <c r="B1" s="1226"/>
      <c r="C1" s="1226"/>
      <c r="D1" s="1226"/>
      <c r="E1" s="1226"/>
      <c r="F1" s="1226"/>
      <c r="G1" s="1226"/>
      <c r="H1" s="1226"/>
      <c r="I1" s="1226"/>
      <c r="J1" s="1226"/>
      <c r="K1" s="1226"/>
      <c r="L1" s="1226"/>
      <c r="M1" s="1226"/>
      <c r="N1" s="1226"/>
      <c r="O1" s="1226"/>
      <c r="P1" s="1226"/>
      <c r="Q1" s="1226"/>
      <c r="R1" s="1226"/>
      <c r="S1" s="1226"/>
      <c r="T1" s="1226"/>
      <c r="U1" s="1226"/>
      <c r="V1" s="1226"/>
      <c r="W1" s="1226"/>
      <c r="X1" s="1226"/>
      <c r="Y1" s="1226"/>
      <c r="Z1" s="1226"/>
      <c r="AA1" s="1226"/>
      <c r="AB1" s="1226"/>
      <c r="AC1" s="1226"/>
      <c r="AD1" s="1226"/>
      <c r="AE1" s="1226"/>
      <c r="AF1" s="1226"/>
      <c r="AG1" s="1226"/>
      <c r="AH1" s="1226"/>
      <c r="AI1" s="1226"/>
      <c r="AJ1" s="1226"/>
      <c r="AK1" s="1227"/>
    </row>
    <row r="2" spans="1:37" s="1" customFormat="1" ht="28.5" customHeight="1" thickBot="1">
      <c r="A2" s="1137" t="s">
        <v>550</v>
      </c>
      <c r="B2" s="1138"/>
      <c r="C2" s="1138"/>
      <c r="D2" s="1138"/>
      <c r="E2" s="1138"/>
      <c r="F2" s="1138"/>
      <c r="G2" s="1138"/>
      <c r="H2" s="1138"/>
      <c r="I2" s="1138"/>
      <c r="J2" s="1138"/>
      <c r="K2" s="1138"/>
      <c r="L2" s="1138"/>
      <c r="M2" s="1138"/>
      <c r="N2" s="1138"/>
      <c r="O2" s="1138"/>
      <c r="P2" s="1138"/>
      <c r="Q2" s="1138"/>
      <c r="R2" s="1138"/>
      <c r="S2" s="1138"/>
      <c r="T2" s="1138"/>
      <c r="U2" s="1138"/>
      <c r="V2" s="1138"/>
      <c r="W2" s="1138"/>
      <c r="X2" s="1138"/>
      <c r="Y2" s="1138"/>
      <c r="Z2" s="1138"/>
      <c r="AA2" s="1138"/>
      <c r="AB2" s="1138"/>
      <c r="AC2" s="1138"/>
      <c r="AD2" s="1138"/>
      <c r="AE2" s="1138"/>
      <c r="AF2" s="1138"/>
      <c r="AG2" s="1138"/>
      <c r="AH2" s="1138"/>
      <c r="AI2" s="1138"/>
      <c r="AJ2" s="1138"/>
      <c r="AK2" s="1139"/>
    </row>
    <row r="3" spans="1:37" s="1" customFormat="1" ht="19.5" customHeight="1" thickBot="1">
      <c r="A3" s="405"/>
      <c r="B3" s="475"/>
      <c r="C3" s="475"/>
      <c r="D3" s="1114" t="s">
        <v>1105</v>
      </c>
      <c r="E3" s="1115"/>
      <c r="F3" s="1115"/>
      <c r="G3" s="1116"/>
      <c r="H3" s="1114" t="s">
        <v>1106</v>
      </c>
      <c r="I3" s="1115"/>
      <c r="J3" s="1115"/>
      <c r="K3" s="1116"/>
      <c r="L3" s="1114" t="s">
        <v>1107</v>
      </c>
      <c r="M3" s="1115"/>
      <c r="N3" s="1115"/>
      <c r="O3" s="1116"/>
      <c r="P3" s="1114" t="s">
        <v>1108</v>
      </c>
      <c r="Q3" s="1115"/>
      <c r="R3" s="1115"/>
      <c r="S3" s="1116"/>
      <c r="T3" s="1114" t="s">
        <v>1109</v>
      </c>
      <c r="U3" s="1115"/>
      <c r="V3" s="1115"/>
      <c r="W3" s="1116"/>
      <c r="X3" s="1114" t="s">
        <v>1110</v>
      </c>
      <c r="Y3" s="1115"/>
      <c r="Z3" s="1115"/>
      <c r="AA3" s="1116"/>
      <c r="AB3" s="1114" t="s">
        <v>1172</v>
      </c>
      <c r="AC3" s="1115"/>
      <c r="AD3" s="1115"/>
      <c r="AE3" s="1116"/>
      <c r="AF3" s="475"/>
      <c r="AG3" s="475"/>
      <c r="AH3" s="475"/>
      <c r="AI3" s="475"/>
      <c r="AJ3" s="475"/>
      <c r="AK3" s="625"/>
    </row>
    <row r="4" spans="1:37" s="7" customFormat="1" ht="21" customHeight="1">
      <c r="A4" s="1228" t="s">
        <v>116</v>
      </c>
      <c r="B4" s="1051" t="s">
        <v>43</v>
      </c>
      <c r="C4" s="1051" t="s">
        <v>20</v>
      </c>
      <c r="D4" s="1117" t="s">
        <v>112</v>
      </c>
      <c r="E4" s="1117"/>
      <c r="F4" s="1117" t="s">
        <v>113</v>
      </c>
      <c r="G4" s="1117"/>
      <c r="H4" s="1117" t="s">
        <v>112</v>
      </c>
      <c r="I4" s="1117"/>
      <c r="J4" s="1117" t="s">
        <v>113</v>
      </c>
      <c r="K4" s="1117"/>
      <c r="L4" s="1117" t="s">
        <v>112</v>
      </c>
      <c r="M4" s="1117"/>
      <c r="N4" s="1117" t="s">
        <v>113</v>
      </c>
      <c r="O4" s="1117"/>
      <c r="P4" s="1117" t="s">
        <v>112</v>
      </c>
      <c r="Q4" s="1117"/>
      <c r="R4" s="1117" t="s">
        <v>113</v>
      </c>
      <c r="S4" s="1117"/>
      <c r="T4" s="1117" t="s">
        <v>112</v>
      </c>
      <c r="U4" s="1117"/>
      <c r="V4" s="1117" t="s">
        <v>113</v>
      </c>
      <c r="W4" s="1117"/>
      <c r="X4" s="1117" t="s">
        <v>112</v>
      </c>
      <c r="Y4" s="1117"/>
      <c r="Z4" s="1117" t="s">
        <v>113</v>
      </c>
      <c r="AA4" s="1117"/>
      <c r="AB4" s="1117" t="s">
        <v>112</v>
      </c>
      <c r="AC4" s="1117"/>
      <c r="AD4" s="1117" t="s">
        <v>113</v>
      </c>
      <c r="AE4" s="1117"/>
      <c r="AF4" s="1117" t="s">
        <v>4</v>
      </c>
      <c r="AG4" s="1117" t="s">
        <v>122</v>
      </c>
      <c r="AH4" s="1117" t="s">
        <v>5</v>
      </c>
      <c r="AI4" s="1119" t="s">
        <v>83</v>
      </c>
      <c r="AJ4" s="1121" t="s">
        <v>84</v>
      </c>
      <c r="AK4" s="1230" t="s">
        <v>1112</v>
      </c>
    </row>
    <row r="5" spans="1:37" s="7" customFormat="1" ht="89.25" customHeight="1" thickBot="1">
      <c r="A5" s="1229"/>
      <c r="B5" s="1052"/>
      <c r="C5" s="1052"/>
      <c r="D5" s="25" t="s">
        <v>6</v>
      </c>
      <c r="E5" s="25" t="s">
        <v>7</v>
      </c>
      <c r="F5" s="25" t="s">
        <v>6</v>
      </c>
      <c r="G5" s="25" t="s">
        <v>96</v>
      </c>
      <c r="H5" s="25" t="s">
        <v>6</v>
      </c>
      <c r="I5" s="25" t="s">
        <v>7</v>
      </c>
      <c r="J5" s="25" t="s">
        <v>6</v>
      </c>
      <c r="K5" s="25" t="s">
        <v>96</v>
      </c>
      <c r="L5" s="25" t="s">
        <v>6</v>
      </c>
      <c r="M5" s="25" t="s">
        <v>7</v>
      </c>
      <c r="N5" s="25" t="s">
        <v>6</v>
      </c>
      <c r="O5" s="25" t="s">
        <v>96</v>
      </c>
      <c r="P5" s="25" t="s">
        <v>6</v>
      </c>
      <c r="Q5" s="25" t="s">
        <v>7</v>
      </c>
      <c r="R5" s="25" t="s">
        <v>6</v>
      </c>
      <c r="S5" s="25" t="s">
        <v>96</v>
      </c>
      <c r="T5" s="25" t="s">
        <v>6</v>
      </c>
      <c r="U5" s="25" t="s">
        <v>7</v>
      </c>
      <c r="V5" s="25" t="s">
        <v>6</v>
      </c>
      <c r="W5" s="25" t="s">
        <v>96</v>
      </c>
      <c r="X5" s="25" t="s">
        <v>6</v>
      </c>
      <c r="Y5" s="25" t="s">
        <v>7</v>
      </c>
      <c r="Z5" s="25" t="s">
        <v>6</v>
      </c>
      <c r="AA5" s="25" t="s">
        <v>96</v>
      </c>
      <c r="AB5" s="25" t="s">
        <v>6</v>
      </c>
      <c r="AC5" s="25" t="s">
        <v>7</v>
      </c>
      <c r="AD5" s="25" t="s">
        <v>6</v>
      </c>
      <c r="AE5" s="25" t="s">
        <v>96</v>
      </c>
      <c r="AF5" s="1118"/>
      <c r="AG5" s="1118"/>
      <c r="AH5" s="1118"/>
      <c r="AI5" s="1120"/>
      <c r="AJ5" s="1122"/>
      <c r="AK5" s="1231"/>
    </row>
    <row r="6" spans="1:37" s="7" customFormat="1" ht="29.25" customHeight="1">
      <c r="A6" s="735"/>
      <c r="B6" s="146" t="s">
        <v>60</v>
      </c>
      <c r="C6" s="1117" t="s">
        <v>22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>
        <v>48</v>
      </c>
      <c r="U6" s="146">
        <v>0</v>
      </c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713"/>
      <c r="AK6" s="714"/>
    </row>
    <row r="7" spans="1:37" s="676" customFormat="1" ht="33.75" customHeight="1">
      <c r="A7" s="751" t="s">
        <v>164</v>
      </c>
      <c r="B7" s="151" t="s">
        <v>44</v>
      </c>
      <c r="C7" s="1214"/>
      <c r="D7" s="91"/>
      <c r="E7" s="91"/>
      <c r="F7" s="91"/>
      <c r="G7" s="91"/>
      <c r="H7" s="91"/>
      <c r="I7" s="91"/>
      <c r="J7" s="91"/>
      <c r="K7" s="91"/>
      <c r="L7" s="560">
        <v>4</v>
      </c>
      <c r="M7" s="560">
        <v>1</v>
      </c>
      <c r="N7" s="560">
        <v>3</v>
      </c>
      <c r="O7" s="560">
        <v>1</v>
      </c>
      <c r="P7" s="145">
        <v>10</v>
      </c>
      <c r="Q7" s="145"/>
      <c r="R7" s="145">
        <v>10</v>
      </c>
      <c r="S7" s="145">
        <v>5.4</v>
      </c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 t="s">
        <v>45</v>
      </c>
      <c r="AG7" s="145">
        <v>16</v>
      </c>
      <c r="AH7" s="145" t="s">
        <v>163</v>
      </c>
      <c r="AI7" s="145" t="s">
        <v>306</v>
      </c>
      <c r="AJ7" s="145" t="s">
        <v>282</v>
      </c>
      <c r="AK7" s="116"/>
    </row>
    <row r="8" spans="1:37" s="7" customFormat="1" ht="29.25" customHeight="1">
      <c r="A8" s="751" t="s">
        <v>169</v>
      </c>
      <c r="B8" s="152" t="s">
        <v>51</v>
      </c>
      <c r="C8" s="1214"/>
      <c r="D8" s="131"/>
      <c r="E8" s="131"/>
      <c r="F8" s="623">
        <v>32</v>
      </c>
      <c r="G8" s="2">
        <v>1.6</v>
      </c>
      <c r="H8" s="144"/>
      <c r="I8" s="144"/>
      <c r="J8" s="144"/>
      <c r="K8" s="144"/>
      <c r="L8" s="684">
        <v>24</v>
      </c>
      <c r="M8" s="715">
        <v>0</v>
      </c>
      <c r="N8" s="716">
        <v>24</v>
      </c>
      <c r="O8" s="715">
        <v>0.69</v>
      </c>
      <c r="P8" s="717"/>
      <c r="Q8" s="717"/>
      <c r="R8" s="717"/>
      <c r="S8" s="717"/>
      <c r="T8" s="630">
        <v>64</v>
      </c>
      <c r="U8" s="557">
        <v>0</v>
      </c>
      <c r="V8" s="630">
        <v>64</v>
      </c>
      <c r="W8" s="557">
        <v>1.81</v>
      </c>
      <c r="X8" s="557"/>
      <c r="Y8" s="557"/>
      <c r="Z8" s="557"/>
      <c r="AA8" s="557"/>
      <c r="AB8" s="557"/>
      <c r="AC8" s="557"/>
      <c r="AD8" s="557"/>
      <c r="AE8" s="557"/>
      <c r="AF8" s="145" t="s">
        <v>168</v>
      </c>
      <c r="AG8" s="145">
        <v>30</v>
      </c>
      <c r="AH8" s="145" t="s">
        <v>167</v>
      </c>
      <c r="AI8" s="145" t="s">
        <v>306</v>
      </c>
      <c r="AJ8" s="14" t="s">
        <v>283</v>
      </c>
      <c r="AK8" s="116"/>
    </row>
    <row r="9" spans="1:37" s="7" customFormat="1" ht="29.25" customHeight="1">
      <c r="A9" s="751" t="s">
        <v>166</v>
      </c>
      <c r="B9" s="152" t="s">
        <v>151</v>
      </c>
      <c r="C9" s="121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5"/>
      <c r="Q9" s="145"/>
      <c r="R9" s="145">
        <v>30</v>
      </c>
      <c r="S9" s="145">
        <v>0.75</v>
      </c>
      <c r="T9" s="557">
        <v>48</v>
      </c>
      <c r="U9" s="557">
        <v>0</v>
      </c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 t="s">
        <v>12</v>
      </c>
      <c r="AG9" s="145">
        <v>24</v>
      </c>
      <c r="AH9" s="145" t="s">
        <v>284</v>
      </c>
      <c r="AI9" s="145" t="s">
        <v>306</v>
      </c>
      <c r="AJ9" s="14" t="s">
        <v>285</v>
      </c>
      <c r="AK9" s="718"/>
    </row>
    <row r="10" spans="1:37" s="7" customFormat="1" ht="29.25" customHeight="1">
      <c r="A10" s="751" t="s">
        <v>934</v>
      </c>
      <c r="B10" s="152" t="s">
        <v>1173</v>
      </c>
      <c r="C10" s="410" t="s">
        <v>675</v>
      </c>
      <c r="D10" s="737"/>
      <c r="E10" s="737"/>
      <c r="F10" s="737"/>
      <c r="G10" s="737"/>
      <c r="H10" s="737"/>
      <c r="I10" s="737"/>
      <c r="J10" s="737"/>
      <c r="K10" s="737"/>
      <c r="L10" s="737"/>
      <c r="M10" s="737"/>
      <c r="N10" s="737"/>
      <c r="O10" s="737"/>
      <c r="P10" s="145"/>
      <c r="Q10" s="145"/>
      <c r="R10" s="145">
        <v>1</v>
      </c>
      <c r="S10" s="145">
        <v>0.3</v>
      </c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 t="s">
        <v>12</v>
      </c>
      <c r="AG10" s="145">
        <v>1</v>
      </c>
      <c r="AH10" s="145" t="s">
        <v>1174</v>
      </c>
      <c r="AI10" s="145" t="s">
        <v>306</v>
      </c>
      <c r="AJ10" s="145" t="s">
        <v>1175</v>
      </c>
      <c r="AK10" s="718"/>
    </row>
    <row r="11" spans="1:37" s="7" customFormat="1" ht="29.25" customHeight="1">
      <c r="A11" s="751" t="s">
        <v>787</v>
      </c>
      <c r="B11" s="152" t="s">
        <v>788</v>
      </c>
      <c r="C11" s="1200" t="s">
        <v>675</v>
      </c>
      <c r="D11" s="640"/>
      <c r="E11" s="640"/>
      <c r="F11" s="640"/>
      <c r="G11" s="640"/>
      <c r="H11" s="640"/>
      <c r="I11" s="640"/>
      <c r="J11" s="640"/>
      <c r="K11" s="640"/>
      <c r="L11" s="640"/>
      <c r="M11" s="640"/>
      <c r="N11" s="640"/>
      <c r="O11" s="640"/>
      <c r="P11" s="640"/>
      <c r="Q11" s="640"/>
      <c r="R11" s="640"/>
      <c r="S11" s="640"/>
      <c r="T11" s="557">
        <v>16</v>
      </c>
      <c r="U11" s="557">
        <v>0</v>
      </c>
      <c r="V11" s="640"/>
      <c r="W11" s="640"/>
      <c r="X11" s="640"/>
      <c r="Y11" s="640"/>
      <c r="Z11" s="640"/>
      <c r="AA11" s="640"/>
      <c r="AB11" s="640"/>
      <c r="AC11" s="640"/>
      <c r="AD11" s="640"/>
      <c r="AE11" s="640"/>
      <c r="AF11" s="738" t="s">
        <v>9</v>
      </c>
      <c r="AG11" s="145">
        <v>30</v>
      </c>
      <c r="AH11" s="145" t="s">
        <v>791</v>
      </c>
      <c r="AI11" s="145" t="s">
        <v>306</v>
      </c>
      <c r="AJ11" s="145" t="s">
        <v>610</v>
      </c>
      <c r="AK11" s="718"/>
    </row>
    <row r="12" spans="1:37" s="7" customFormat="1" ht="29.25" customHeight="1" hidden="1">
      <c r="A12" s="751" t="s">
        <v>789</v>
      </c>
      <c r="B12" s="152" t="s">
        <v>790</v>
      </c>
      <c r="C12" s="1201"/>
      <c r="D12" s="640"/>
      <c r="E12" s="640"/>
      <c r="F12" s="640"/>
      <c r="G12" s="640"/>
      <c r="H12" s="640"/>
      <c r="I12" s="640"/>
      <c r="J12" s="640"/>
      <c r="K12" s="640"/>
      <c r="L12" s="640"/>
      <c r="M12" s="640"/>
      <c r="N12" s="640"/>
      <c r="O12" s="640"/>
      <c r="P12" s="640"/>
      <c r="Q12" s="640"/>
      <c r="R12" s="640"/>
      <c r="S12" s="640"/>
      <c r="T12" s="640"/>
      <c r="U12" s="640"/>
      <c r="V12" s="640"/>
      <c r="W12" s="640"/>
      <c r="X12" s="640"/>
      <c r="Y12" s="640"/>
      <c r="Z12" s="640"/>
      <c r="AA12" s="640"/>
      <c r="AB12" s="640"/>
      <c r="AC12" s="640"/>
      <c r="AD12" s="640"/>
      <c r="AE12" s="640"/>
      <c r="AF12" s="738" t="s">
        <v>23</v>
      </c>
      <c r="AG12" s="145">
        <v>35</v>
      </c>
      <c r="AH12" s="145" t="s">
        <v>792</v>
      </c>
      <c r="AI12" s="145" t="s">
        <v>306</v>
      </c>
      <c r="AJ12" s="145" t="s">
        <v>610</v>
      </c>
      <c r="AK12" s="718"/>
    </row>
    <row r="13" spans="1:37" s="7" customFormat="1" ht="29.25" customHeight="1" hidden="1">
      <c r="A13" s="751" t="s">
        <v>703</v>
      </c>
      <c r="B13" s="152" t="s">
        <v>51</v>
      </c>
      <c r="C13" s="1117"/>
      <c r="D13" s="640"/>
      <c r="E13" s="640"/>
      <c r="F13" s="640"/>
      <c r="G13" s="640"/>
      <c r="H13" s="640"/>
      <c r="I13" s="640"/>
      <c r="J13" s="640"/>
      <c r="K13" s="640"/>
      <c r="L13" s="640"/>
      <c r="M13" s="640"/>
      <c r="N13" s="640"/>
      <c r="O13" s="640"/>
      <c r="P13" s="640"/>
      <c r="Q13" s="640"/>
      <c r="R13" s="640"/>
      <c r="S13" s="640"/>
      <c r="T13" s="640"/>
      <c r="U13" s="640"/>
      <c r="V13" s="640"/>
      <c r="W13" s="640"/>
      <c r="X13" s="640"/>
      <c r="Y13" s="640"/>
      <c r="Z13" s="640"/>
      <c r="AA13" s="640"/>
      <c r="AB13" s="640"/>
      <c r="AC13" s="640"/>
      <c r="AD13" s="640"/>
      <c r="AE13" s="640"/>
      <c r="AF13" s="145" t="s">
        <v>168</v>
      </c>
      <c r="AG13" s="145">
        <v>30</v>
      </c>
      <c r="AH13" s="560" t="s">
        <v>1176</v>
      </c>
      <c r="AI13" s="145" t="s">
        <v>306</v>
      </c>
      <c r="AJ13" s="14" t="s">
        <v>555</v>
      </c>
      <c r="AK13" s="718"/>
    </row>
    <row r="14" spans="1:37" s="4" customFormat="1" ht="33" customHeight="1">
      <c r="A14" s="751" t="s">
        <v>165</v>
      </c>
      <c r="B14" s="152" t="s">
        <v>152</v>
      </c>
      <c r="C14" s="1214" t="s">
        <v>33</v>
      </c>
      <c r="D14" s="2"/>
      <c r="E14" s="2"/>
      <c r="F14" s="2"/>
      <c r="G14" s="2"/>
      <c r="H14" s="623">
        <v>20</v>
      </c>
      <c r="I14" s="623">
        <v>0</v>
      </c>
      <c r="J14" s="623">
        <v>5</v>
      </c>
      <c r="K14" s="623">
        <v>0.5</v>
      </c>
      <c r="L14" s="560">
        <v>5</v>
      </c>
      <c r="M14" s="560">
        <v>2</v>
      </c>
      <c r="N14" s="560">
        <v>3</v>
      </c>
      <c r="O14" s="560">
        <v>0.5</v>
      </c>
      <c r="P14" s="145">
        <v>12</v>
      </c>
      <c r="Q14" s="145"/>
      <c r="R14" s="145">
        <v>12</v>
      </c>
      <c r="S14" s="145">
        <v>5.76</v>
      </c>
      <c r="T14" s="145"/>
      <c r="U14" s="145"/>
      <c r="V14" s="145"/>
      <c r="W14" s="145"/>
      <c r="X14" s="145"/>
      <c r="Y14" s="145"/>
      <c r="Z14" s="145"/>
      <c r="AA14" s="145"/>
      <c r="AB14" s="2">
        <v>8</v>
      </c>
      <c r="AC14" s="2">
        <v>8</v>
      </c>
      <c r="AD14" s="2">
        <v>8</v>
      </c>
      <c r="AE14" s="2">
        <v>0.45</v>
      </c>
      <c r="AF14" s="145" t="s">
        <v>45</v>
      </c>
      <c r="AG14" s="145">
        <v>16</v>
      </c>
      <c r="AH14" s="145" t="s">
        <v>163</v>
      </c>
      <c r="AI14" s="145" t="s">
        <v>306</v>
      </c>
      <c r="AJ14" s="145" t="s">
        <v>282</v>
      </c>
      <c r="AK14" s="719"/>
    </row>
    <row r="15" spans="1:37" s="4" customFormat="1" ht="33" customHeight="1">
      <c r="A15" s="751" t="s">
        <v>567</v>
      </c>
      <c r="B15" s="151" t="s">
        <v>568</v>
      </c>
      <c r="C15" s="1214"/>
      <c r="D15" s="131"/>
      <c r="E15" s="131"/>
      <c r="F15" s="623">
        <v>128</v>
      </c>
      <c r="G15" s="2">
        <v>3.2</v>
      </c>
      <c r="H15" s="152"/>
      <c r="I15" s="152"/>
      <c r="J15" s="152"/>
      <c r="K15" s="152"/>
      <c r="L15" s="684">
        <v>48</v>
      </c>
      <c r="M15" s="715">
        <v>0</v>
      </c>
      <c r="N15" s="716">
        <v>48</v>
      </c>
      <c r="O15" s="715">
        <v>1.05</v>
      </c>
      <c r="P15" s="145"/>
      <c r="Q15" s="145"/>
      <c r="R15" s="145">
        <v>10</v>
      </c>
      <c r="S15" s="145">
        <v>0.2</v>
      </c>
      <c r="T15" s="557">
        <v>64</v>
      </c>
      <c r="U15" s="557">
        <v>0</v>
      </c>
      <c r="V15" s="145"/>
      <c r="W15" s="145"/>
      <c r="X15" s="145"/>
      <c r="Y15" s="145"/>
      <c r="Z15" s="145"/>
      <c r="AA15" s="145"/>
      <c r="AB15" s="2">
        <v>9</v>
      </c>
      <c r="AC15" s="2">
        <v>8</v>
      </c>
      <c r="AD15" s="2">
        <v>16</v>
      </c>
      <c r="AE15" s="2">
        <v>0.36</v>
      </c>
      <c r="AF15" s="145" t="s">
        <v>37</v>
      </c>
      <c r="AG15" s="145">
        <v>15</v>
      </c>
      <c r="AH15" s="55" t="s">
        <v>569</v>
      </c>
      <c r="AI15" s="55" t="s">
        <v>306</v>
      </c>
      <c r="AJ15" s="145" t="s">
        <v>555</v>
      </c>
      <c r="AK15" s="719"/>
    </row>
    <row r="16" spans="1:37" s="676" customFormat="1" ht="29.25" customHeight="1" hidden="1">
      <c r="A16" s="752" t="s">
        <v>314</v>
      </c>
      <c r="B16" s="152" t="s">
        <v>51</v>
      </c>
      <c r="C16" s="1214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87" t="s">
        <v>23</v>
      </c>
      <c r="AG16" s="145">
        <v>16</v>
      </c>
      <c r="AH16" s="145" t="s">
        <v>167</v>
      </c>
      <c r="AI16" s="145" t="s">
        <v>306</v>
      </c>
      <c r="AJ16" s="145" t="s">
        <v>316</v>
      </c>
      <c r="AK16" s="116"/>
    </row>
    <row r="17" spans="1:37" s="676" customFormat="1" ht="29.25" customHeight="1" hidden="1">
      <c r="A17" s="752" t="s">
        <v>315</v>
      </c>
      <c r="B17" s="152" t="s">
        <v>170</v>
      </c>
      <c r="C17" s="1214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87" t="s">
        <v>15</v>
      </c>
      <c r="AG17" s="145" t="s">
        <v>862</v>
      </c>
      <c r="AH17" s="145" t="s">
        <v>167</v>
      </c>
      <c r="AI17" s="145" t="s">
        <v>306</v>
      </c>
      <c r="AJ17" s="145" t="s">
        <v>316</v>
      </c>
      <c r="AK17" s="116"/>
    </row>
    <row r="18" spans="1:37" s="676" customFormat="1" ht="29.25" customHeight="1">
      <c r="A18" s="751" t="s">
        <v>171</v>
      </c>
      <c r="B18" s="152" t="s">
        <v>51</v>
      </c>
      <c r="C18" s="1200" t="s">
        <v>39</v>
      </c>
      <c r="D18" s="131"/>
      <c r="E18" s="131"/>
      <c r="F18" s="131">
        <v>192</v>
      </c>
      <c r="G18" s="9">
        <v>2.76</v>
      </c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>
        <v>20</v>
      </c>
      <c r="S18" s="145">
        <v>0.4</v>
      </c>
      <c r="T18" s="557"/>
      <c r="U18" s="557"/>
      <c r="V18" s="630">
        <v>96</v>
      </c>
      <c r="W18" s="557">
        <v>2.27</v>
      </c>
      <c r="X18" s="557"/>
      <c r="Y18" s="557"/>
      <c r="Z18" s="557"/>
      <c r="AA18" s="557"/>
      <c r="AB18" s="557"/>
      <c r="AC18" s="557"/>
      <c r="AD18" s="557"/>
      <c r="AE18" s="557"/>
      <c r="AF18" s="145" t="s">
        <v>15</v>
      </c>
      <c r="AG18" s="145">
        <v>30</v>
      </c>
      <c r="AH18" s="145" t="s">
        <v>311</v>
      </c>
      <c r="AI18" s="145" t="s">
        <v>306</v>
      </c>
      <c r="AJ18" s="145" t="s">
        <v>316</v>
      </c>
      <c r="AK18" s="720"/>
    </row>
    <row r="19" spans="1:37" s="676" customFormat="1" ht="35.25" customHeight="1">
      <c r="A19" s="751" t="s">
        <v>162</v>
      </c>
      <c r="B19" s="152" t="s">
        <v>60</v>
      </c>
      <c r="C19" s="1201"/>
      <c r="D19" s="131"/>
      <c r="E19" s="131"/>
      <c r="F19" s="721" t="s">
        <v>1177</v>
      </c>
      <c r="G19" s="2">
        <v>5.4</v>
      </c>
      <c r="H19" s="2"/>
      <c r="I19" s="2"/>
      <c r="J19" s="2"/>
      <c r="K19" s="2"/>
      <c r="L19" s="560">
        <v>16</v>
      </c>
      <c r="M19" s="560">
        <v>0</v>
      </c>
      <c r="N19" s="560">
        <v>16</v>
      </c>
      <c r="O19" s="560">
        <v>0.9</v>
      </c>
      <c r="P19" s="560"/>
      <c r="Q19" s="560"/>
      <c r="R19" s="560"/>
      <c r="S19" s="560"/>
      <c r="T19" s="557">
        <v>72</v>
      </c>
      <c r="U19" s="557">
        <v>0</v>
      </c>
      <c r="V19" s="560"/>
      <c r="W19" s="560"/>
      <c r="X19" s="560"/>
      <c r="Y19" s="560"/>
      <c r="Z19" s="560"/>
      <c r="AA19" s="560"/>
      <c r="AB19" s="560"/>
      <c r="AC19" s="560"/>
      <c r="AD19" s="560"/>
      <c r="AE19" s="560"/>
      <c r="AF19" s="145" t="s">
        <v>61</v>
      </c>
      <c r="AG19" s="145">
        <v>30</v>
      </c>
      <c r="AH19" s="145" t="s">
        <v>286</v>
      </c>
      <c r="AI19" s="145" t="s">
        <v>306</v>
      </c>
      <c r="AJ19" s="145" t="s">
        <v>287</v>
      </c>
      <c r="AK19" s="720"/>
    </row>
    <row r="20" spans="1:37" s="676" customFormat="1" ht="29.25" customHeight="1" hidden="1">
      <c r="A20" s="751" t="s">
        <v>161</v>
      </c>
      <c r="B20" s="152" t="s">
        <v>288</v>
      </c>
      <c r="C20" s="152" t="s">
        <v>289</v>
      </c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45" t="s">
        <v>61</v>
      </c>
      <c r="AG20" s="145" t="s">
        <v>862</v>
      </c>
      <c r="AH20" s="145" t="s">
        <v>290</v>
      </c>
      <c r="AI20" s="145" t="s">
        <v>306</v>
      </c>
      <c r="AJ20" s="145" t="s">
        <v>291</v>
      </c>
      <c r="AK20" s="116"/>
    </row>
    <row r="21" spans="1:37" s="4" customFormat="1" ht="29.25" customHeight="1">
      <c r="A21" s="26"/>
      <c r="B21" s="1027" t="s">
        <v>30</v>
      </c>
      <c r="C21" s="1027"/>
      <c r="D21" s="153">
        <f>SUM(D6:D20)</f>
        <v>0</v>
      </c>
      <c r="E21" s="153">
        <f aca="true" t="shared" si="0" ref="E21:AE21">SUM(E6:E20)</f>
        <v>0</v>
      </c>
      <c r="F21" s="153">
        <f t="shared" si="0"/>
        <v>352</v>
      </c>
      <c r="G21" s="153">
        <f t="shared" si="0"/>
        <v>12.96</v>
      </c>
      <c r="H21" s="153">
        <f t="shared" si="0"/>
        <v>20</v>
      </c>
      <c r="I21" s="153">
        <f t="shared" si="0"/>
        <v>0</v>
      </c>
      <c r="J21" s="153">
        <f t="shared" si="0"/>
        <v>5</v>
      </c>
      <c r="K21" s="153">
        <f t="shared" si="0"/>
        <v>0.5</v>
      </c>
      <c r="L21" s="153">
        <f t="shared" si="0"/>
        <v>97</v>
      </c>
      <c r="M21" s="153">
        <f t="shared" si="0"/>
        <v>3</v>
      </c>
      <c r="N21" s="153">
        <f t="shared" si="0"/>
        <v>94</v>
      </c>
      <c r="O21" s="153">
        <f t="shared" si="0"/>
        <v>4.140000000000001</v>
      </c>
      <c r="P21" s="153">
        <f t="shared" si="0"/>
        <v>22</v>
      </c>
      <c r="Q21" s="153">
        <f t="shared" si="0"/>
        <v>0</v>
      </c>
      <c r="R21" s="153">
        <f t="shared" si="0"/>
        <v>83</v>
      </c>
      <c r="S21" s="153">
        <f t="shared" si="0"/>
        <v>12.81</v>
      </c>
      <c r="T21" s="153">
        <f t="shared" si="0"/>
        <v>312</v>
      </c>
      <c r="U21" s="153">
        <f t="shared" si="0"/>
        <v>0</v>
      </c>
      <c r="V21" s="153">
        <f t="shared" si="0"/>
        <v>160</v>
      </c>
      <c r="W21" s="153">
        <f t="shared" si="0"/>
        <v>4.08</v>
      </c>
      <c r="X21" s="153">
        <f t="shared" si="0"/>
        <v>0</v>
      </c>
      <c r="Y21" s="153">
        <f t="shared" si="0"/>
        <v>0</v>
      </c>
      <c r="Z21" s="153">
        <f t="shared" si="0"/>
        <v>0</v>
      </c>
      <c r="AA21" s="153">
        <f t="shared" si="0"/>
        <v>0</v>
      </c>
      <c r="AB21" s="153">
        <f t="shared" si="0"/>
        <v>17</v>
      </c>
      <c r="AC21" s="153">
        <f t="shared" si="0"/>
        <v>16</v>
      </c>
      <c r="AD21" s="153">
        <f t="shared" si="0"/>
        <v>24</v>
      </c>
      <c r="AE21" s="153">
        <f t="shared" si="0"/>
        <v>0.81</v>
      </c>
      <c r="AF21" s="686"/>
      <c r="AG21" s="686"/>
      <c r="AH21" s="686"/>
      <c r="AI21" s="686"/>
      <c r="AJ21" s="686"/>
      <c r="AK21" s="687"/>
    </row>
    <row r="22" spans="1:37" ht="29.25" customHeight="1">
      <c r="A22" s="96" t="s">
        <v>1162</v>
      </c>
      <c r="B22" s="131" t="s">
        <v>1163</v>
      </c>
      <c r="C22" s="722" t="s">
        <v>923</v>
      </c>
      <c r="D22" s="648"/>
      <c r="E22" s="648"/>
      <c r="F22" s="648"/>
      <c r="G22" s="648"/>
      <c r="H22" s="648"/>
      <c r="I22" s="648"/>
      <c r="J22" s="648"/>
      <c r="K22" s="648"/>
      <c r="L22" s="6"/>
      <c r="M22" s="6"/>
      <c r="N22" s="6"/>
      <c r="O22" s="6"/>
      <c r="P22" s="648"/>
      <c r="Q22" s="648"/>
      <c r="R22" s="648"/>
      <c r="S22" s="648"/>
      <c r="T22" s="6"/>
      <c r="U22" s="6"/>
      <c r="V22" s="648"/>
      <c r="W22" s="648"/>
      <c r="X22" s="648"/>
      <c r="Y22" s="648"/>
      <c r="Z22" s="648"/>
      <c r="AA22" s="648"/>
      <c r="AB22" s="2">
        <v>120</v>
      </c>
      <c r="AC22" s="2">
        <v>138</v>
      </c>
      <c r="AD22" s="2">
        <v>0</v>
      </c>
      <c r="AE22" s="2">
        <v>0</v>
      </c>
      <c r="AF22" s="33"/>
      <c r="AG22" s="33" t="s">
        <v>575</v>
      </c>
      <c r="AH22" s="33"/>
      <c r="AI22" s="33"/>
      <c r="AJ22" s="33"/>
      <c r="AK22" s="120"/>
    </row>
    <row r="23" spans="1:37" s="3" customFormat="1" ht="29.25" customHeight="1">
      <c r="A23" s="751" t="s">
        <v>172</v>
      </c>
      <c r="B23" s="151" t="s">
        <v>47</v>
      </c>
      <c r="C23" s="6" t="s">
        <v>50</v>
      </c>
      <c r="D23" s="144"/>
      <c r="E23" s="144"/>
      <c r="F23" s="144"/>
      <c r="G23" s="144"/>
      <c r="H23" s="144"/>
      <c r="I23" s="144"/>
      <c r="J23" s="144"/>
      <c r="K23" s="144"/>
      <c r="L23" s="560">
        <v>2</v>
      </c>
      <c r="M23" s="560">
        <v>0</v>
      </c>
      <c r="N23" s="560">
        <v>2</v>
      </c>
      <c r="O23" s="560">
        <v>0.7</v>
      </c>
      <c r="P23" s="723"/>
      <c r="Q23" s="723"/>
      <c r="R23" s="723"/>
      <c r="S23" s="723"/>
      <c r="T23" s="557">
        <v>48</v>
      </c>
      <c r="U23" s="557">
        <v>0</v>
      </c>
      <c r="V23" s="723"/>
      <c r="W23" s="723"/>
      <c r="X23" s="723"/>
      <c r="Y23" s="723"/>
      <c r="Z23" s="723"/>
      <c r="AA23" s="723"/>
      <c r="AB23" s="2">
        <v>0</v>
      </c>
      <c r="AC23" s="2">
        <v>0</v>
      </c>
      <c r="AD23" s="2">
        <v>30</v>
      </c>
      <c r="AE23" s="2">
        <v>1.62</v>
      </c>
      <c r="AF23" s="33" t="s">
        <v>87</v>
      </c>
      <c r="AG23" s="152">
        <v>20</v>
      </c>
      <c r="AH23" s="33" t="s">
        <v>292</v>
      </c>
      <c r="AI23" s="145" t="s">
        <v>306</v>
      </c>
      <c r="AJ23" s="145" t="s">
        <v>293</v>
      </c>
      <c r="AK23" s="720"/>
    </row>
    <row r="24" spans="1:37" s="3" customFormat="1" ht="29.25" customHeight="1">
      <c r="A24" s="751" t="s">
        <v>175</v>
      </c>
      <c r="B24" s="152" t="s">
        <v>173</v>
      </c>
      <c r="C24" s="152" t="s">
        <v>317</v>
      </c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557">
        <v>24</v>
      </c>
      <c r="U24" s="557">
        <v>0</v>
      </c>
      <c r="V24" s="630">
        <v>24</v>
      </c>
      <c r="W24" s="557">
        <v>1.94</v>
      </c>
      <c r="X24" s="557"/>
      <c r="Y24" s="557"/>
      <c r="Z24" s="557"/>
      <c r="AA24" s="557"/>
      <c r="AB24" s="2"/>
      <c r="AC24" s="2"/>
      <c r="AD24" s="2"/>
      <c r="AE24" s="2"/>
      <c r="AF24" s="145" t="s">
        <v>174</v>
      </c>
      <c r="AG24" s="145">
        <v>24</v>
      </c>
      <c r="AH24" s="145" t="s">
        <v>1178</v>
      </c>
      <c r="AI24" s="145" t="s">
        <v>306</v>
      </c>
      <c r="AJ24" s="145" t="s">
        <v>318</v>
      </c>
      <c r="AK24" s="116"/>
    </row>
    <row r="25" spans="1:37" s="3" customFormat="1" ht="35.25" customHeight="1">
      <c r="A25" s="751" t="s">
        <v>176</v>
      </c>
      <c r="B25" s="152" t="s">
        <v>62</v>
      </c>
      <c r="C25" s="152" t="s">
        <v>177</v>
      </c>
      <c r="D25" s="653"/>
      <c r="E25" s="653"/>
      <c r="F25" s="653"/>
      <c r="G25" s="653"/>
      <c r="H25" s="653"/>
      <c r="I25" s="653"/>
      <c r="J25" s="653"/>
      <c r="K25" s="653"/>
      <c r="L25" s="684">
        <v>0</v>
      </c>
      <c r="M25" s="715">
        <v>0</v>
      </c>
      <c r="N25" s="715" t="s">
        <v>610</v>
      </c>
      <c r="O25" s="715">
        <v>0.4</v>
      </c>
      <c r="P25" s="724"/>
      <c r="Q25" s="724"/>
      <c r="R25" s="724"/>
      <c r="S25" s="724"/>
      <c r="T25" s="557">
        <v>40</v>
      </c>
      <c r="U25" s="557">
        <v>130</v>
      </c>
      <c r="V25" s="630">
        <v>60</v>
      </c>
      <c r="W25" s="557">
        <v>2.74</v>
      </c>
      <c r="X25" s="557"/>
      <c r="Y25" s="557"/>
      <c r="Z25" s="557"/>
      <c r="AA25" s="557"/>
      <c r="AB25" s="557"/>
      <c r="AC25" s="557"/>
      <c r="AD25" s="557"/>
      <c r="AE25" s="557"/>
      <c r="AF25" s="145" t="s">
        <v>37</v>
      </c>
      <c r="AG25" s="145">
        <v>25</v>
      </c>
      <c r="AH25" s="145" t="s">
        <v>56</v>
      </c>
      <c r="AI25" s="145" t="s">
        <v>306</v>
      </c>
      <c r="AJ25" s="145" t="s">
        <v>294</v>
      </c>
      <c r="AK25" s="720"/>
    </row>
    <row r="26" spans="1:37" s="3" customFormat="1" ht="35.25" customHeight="1">
      <c r="A26" s="751" t="s">
        <v>646</v>
      </c>
      <c r="B26" s="739" t="s">
        <v>62</v>
      </c>
      <c r="C26" s="740" t="s">
        <v>39</v>
      </c>
      <c r="D26" s="653"/>
      <c r="E26" s="653"/>
      <c r="F26" s="653"/>
      <c r="G26" s="653"/>
      <c r="H26" s="653"/>
      <c r="I26" s="653"/>
      <c r="J26" s="653"/>
      <c r="K26" s="653"/>
      <c r="L26" s="725"/>
      <c r="M26" s="724"/>
      <c r="N26" s="724"/>
      <c r="O26" s="724"/>
      <c r="P26" s="724"/>
      <c r="Q26" s="724"/>
      <c r="R26" s="724"/>
      <c r="S26" s="724"/>
      <c r="T26" s="557">
        <v>60</v>
      </c>
      <c r="U26" s="557">
        <v>150</v>
      </c>
      <c r="V26" s="630">
        <v>320</v>
      </c>
      <c r="W26" s="557">
        <v>12.42</v>
      </c>
      <c r="X26" s="557"/>
      <c r="Y26" s="557"/>
      <c r="Z26" s="557"/>
      <c r="AA26" s="557"/>
      <c r="AB26" s="557"/>
      <c r="AC26" s="557"/>
      <c r="AD26" s="557"/>
      <c r="AE26" s="557"/>
      <c r="AF26" s="557" t="s">
        <v>12</v>
      </c>
      <c r="AG26" s="557">
        <v>20</v>
      </c>
      <c r="AH26" s="557" t="s">
        <v>1179</v>
      </c>
      <c r="AI26" s="145" t="s">
        <v>306</v>
      </c>
      <c r="AJ26" s="145" t="s">
        <v>306</v>
      </c>
      <c r="AK26" s="557" t="s">
        <v>918</v>
      </c>
    </row>
    <row r="27" spans="1:37" s="3" customFormat="1" ht="35.25" customHeight="1" hidden="1">
      <c r="A27" s="751" t="s">
        <v>646</v>
      </c>
      <c r="B27" s="2" t="s">
        <v>647</v>
      </c>
      <c r="C27" s="2" t="s">
        <v>648</v>
      </c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33" t="s">
        <v>87</v>
      </c>
      <c r="AG27" s="145"/>
      <c r="AH27" s="145"/>
      <c r="AI27" s="145"/>
      <c r="AJ27" s="145"/>
      <c r="AK27" s="720"/>
    </row>
    <row r="28" spans="1:37" s="3" customFormat="1" ht="29.25" customHeight="1" hidden="1">
      <c r="A28" s="751" t="s">
        <v>357</v>
      </c>
      <c r="B28" s="152" t="s">
        <v>359</v>
      </c>
      <c r="C28" s="152" t="s">
        <v>226</v>
      </c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45" t="s">
        <v>12</v>
      </c>
      <c r="AG28" s="145">
        <v>25</v>
      </c>
      <c r="AH28" s="145" t="s">
        <v>351</v>
      </c>
      <c r="AI28" s="145" t="s">
        <v>306</v>
      </c>
      <c r="AJ28" s="145" t="s">
        <v>360</v>
      </c>
      <c r="AK28" s="116"/>
    </row>
    <row r="29" spans="1:37" s="3" customFormat="1" ht="29.25" customHeight="1" hidden="1">
      <c r="A29" s="751" t="s">
        <v>358</v>
      </c>
      <c r="B29" s="152" t="s">
        <v>60</v>
      </c>
      <c r="C29" s="152" t="s">
        <v>226</v>
      </c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557"/>
      <c r="U29" s="557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45" t="s">
        <v>61</v>
      </c>
      <c r="AG29" s="145">
        <v>25</v>
      </c>
      <c r="AH29" s="145" t="s">
        <v>311</v>
      </c>
      <c r="AI29" s="145" t="s">
        <v>306</v>
      </c>
      <c r="AJ29" s="145" t="s">
        <v>329</v>
      </c>
      <c r="AK29" s="116"/>
    </row>
    <row r="30" spans="1:37" s="3" customFormat="1" ht="29.25" customHeight="1" hidden="1">
      <c r="A30" s="751" t="s">
        <v>178</v>
      </c>
      <c r="B30" s="726" t="s">
        <v>47</v>
      </c>
      <c r="C30" s="726" t="s">
        <v>675</v>
      </c>
      <c r="D30" s="726"/>
      <c r="E30" s="726"/>
      <c r="F30" s="726"/>
      <c r="G30" s="726"/>
      <c r="H30" s="726"/>
      <c r="I30" s="726"/>
      <c r="J30" s="726"/>
      <c r="K30" s="726"/>
      <c r="L30" s="726"/>
      <c r="M30" s="726"/>
      <c r="N30" s="726"/>
      <c r="O30" s="726"/>
      <c r="P30" s="726"/>
      <c r="Q30" s="726"/>
      <c r="R30" s="726"/>
      <c r="S30" s="726"/>
      <c r="T30" s="726"/>
      <c r="U30" s="726"/>
      <c r="V30" s="726"/>
      <c r="W30" s="726"/>
      <c r="X30" s="726"/>
      <c r="Y30" s="726"/>
      <c r="Z30" s="726"/>
      <c r="AA30" s="726"/>
      <c r="AB30" s="726"/>
      <c r="AC30" s="726"/>
      <c r="AD30" s="726"/>
      <c r="AE30" s="726"/>
      <c r="AF30" s="560" t="s">
        <v>920</v>
      </c>
      <c r="AG30" s="145">
        <v>20</v>
      </c>
      <c r="AH30" s="145" t="s">
        <v>13</v>
      </c>
      <c r="AI30" s="560" t="s">
        <v>306</v>
      </c>
      <c r="AJ30" s="560" t="s">
        <v>306</v>
      </c>
      <c r="AK30" s="116"/>
    </row>
    <row r="31" spans="1:37" s="3" customFormat="1" ht="29.25" customHeight="1" hidden="1">
      <c r="A31" s="751" t="s">
        <v>178</v>
      </c>
      <c r="B31" s="152" t="s">
        <v>179</v>
      </c>
      <c r="C31" s="152" t="s">
        <v>153</v>
      </c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2" t="s">
        <v>37</v>
      </c>
      <c r="AG31" s="2">
        <v>24</v>
      </c>
      <c r="AH31" s="145" t="s">
        <v>311</v>
      </c>
      <c r="AI31" s="2" t="s">
        <v>306</v>
      </c>
      <c r="AJ31" s="2" t="s">
        <v>644</v>
      </c>
      <c r="AK31" s="116"/>
    </row>
    <row r="32" spans="1:37" s="3" customFormat="1" ht="46.5" customHeight="1" hidden="1">
      <c r="A32" s="751" t="s">
        <v>361</v>
      </c>
      <c r="B32" s="152" t="s">
        <v>179</v>
      </c>
      <c r="C32" s="152" t="s">
        <v>365</v>
      </c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45" t="s">
        <v>23</v>
      </c>
      <c r="AG32" s="145">
        <v>40</v>
      </c>
      <c r="AH32" s="145" t="s">
        <v>13</v>
      </c>
      <c r="AI32" s="1031" t="s">
        <v>548</v>
      </c>
      <c r="AJ32" s="145" t="s">
        <v>328</v>
      </c>
      <c r="AK32" s="116"/>
    </row>
    <row r="33" spans="1:37" s="3" customFormat="1" ht="51.75" customHeight="1" hidden="1">
      <c r="A33" s="751" t="s">
        <v>362</v>
      </c>
      <c r="B33" s="152" t="s">
        <v>366</v>
      </c>
      <c r="C33" s="152" t="s">
        <v>367</v>
      </c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45" t="s">
        <v>15</v>
      </c>
      <c r="AG33" s="145">
        <v>30</v>
      </c>
      <c r="AH33" s="145" t="s">
        <v>311</v>
      </c>
      <c r="AI33" s="1032"/>
      <c r="AJ33" s="145" t="s">
        <v>329</v>
      </c>
      <c r="AK33" s="116"/>
    </row>
    <row r="34" spans="1:37" s="3" customFormat="1" ht="40.5" customHeight="1" hidden="1">
      <c r="A34" s="751" t="s">
        <v>363</v>
      </c>
      <c r="B34" s="152" t="s">
        <v>368</v>
      </c>
      <c r="C34" s="152" t="s">
        <v>369</v>
      </c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45" t="s">
        <v>23</v>
      </c>
      <c r="AG34" s="145">
        <v>30</v>
      </c>
      <c r="AH34" s="145" t="s">
        <v>311</v>
      </c>
      <c r="AI34" s="1032"/>
      <c r="AJ34" s="145" t="s">
        <v>329</v>
      </c>
      <c r="AK34" s="116"/>
    </row>
    <row r="35" spans="1:37" s="3" customFormat="1" ht="40.5" customHeight="1" hidden="1">
      <c r="A35" s="751" t="s">
        <v>364</v>
      </c>
      <c r="B35" s="152" t="s">
        <v>370</v>
      </c>
      <c r="C35" s="152" t="s">
        <v>371</v>
      </c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45" t="s">
        <v>15</v>
      </c>
      <c r="AG35" s="145">
        <v>30</v>
      </c>
      <c r="AH35" s="145" t="s">
        <v>16</v>
      </c>
      <c r="AI35" s="1033"/>
      <c r="AJ35" s="145" t="s">
        <v>330</v>
      </c>
      <c r="AK35" s="116"/>
    </row>
    <row r="36" spans="1:37" s="4" customFormat="1" ht="29.25" customHeight="1">
      <c r="A36" s="26"/>
      <c r="B36" s="1027" t="s">
        <v>30</v>
      </c>
      <c r="C36" s="1027"/>
      <c r="D36" s="153">
        <f>SUM(D22:D35)</f>
        <v>0</v>
      </c>
      <c r="E36" s="153">
        <f aca="true" t="shared" si="1" ref="E36:AE36">SUM(E22:E35)</f>
        <v>0</v>
      </c>
      <c r="F36" s="153">
        <f t="shared" si="1"/>
        <v>0</v>
      </c>
      <c r="G36" s="153">
        <f t="shared" si="1"/>
        <v>0</v>
      </c>
      <c r="H36" s="153">
        <f t="shared" si="1"/>
        <v>0</v>
      </c>
      <c r="I36" s="153">
        <f t="shared" si="1"/>
        <v>0</v>
      </c>
      <c r="J36" s="153">
        <f t="shared" si="1"/>
        <v>0</v>
      </c>
      <c r="K36" s="153">
        <f t="shared" si="1"/>
        <v>0</v>
      </c>
      <c r="L36" s="153">
        <f t="shared" si="1"/>
        <v>2</v>
      </c>
      <c r="M36" s="153">
        <f t="shared" si="1"/>
        <v>0</v>
      </c>
      <c r="N36" s="153">
        <f t="shared" si="1"/>
        <v>2</v>
      </c>
      <c r="O36" s="153">
        <f t="shared" si="1"/>
        <v>1.1</v>
      </c>
      <c r="P36" s="153">
        <f t="shared" si="1"/>
        <v>0</v>
      </c>
      <c r="Q36" s="153">
        <f t="shared" si="1"/>
        <v>0</v>
      </c>
      <c r="R36" s="153">
        <f t="shared" si="1"/>
        <v>0</v>
      </c>
      <c r="S36" s="153">
        <f t="shared" si="1"/>
        <v>0</v>
      </c>
      <c r="T36" s="153">
        <f t="shared" si="1"/>
        <v>172</v>
      </c>
      <c r="U36" s="153">
        <f t="shared" si="1"/>
        <v>280</v>
      </c>
      <c r="V36" s="153">
        <f t="shared" si="1"/>
        <v>404</v>
      </c>
      <c r="W36" s="153">
        <f t="shared" si="1"/>
        <v>17.1</v>
      </c>
      <c r="X36" s="153">
        <f t="shared" si="1"/>
        <v>0</v>
      </c>
      <c r="Y36" s="153">
        <f t="shared" si="1"/>
        <v>0</v>
      </c>
      <c r="Z36" s="153">
        <f t="shared" si="1"/>
        <v>0</v>
      </c>
      <c r="AA36" s="153">
        <f t="shared" si="1"/>
        <v>0</v>
      </c>
      <c r="AB36" s="153">
        <f t="shared" si="1"/>
        <v>120</v>
      </c>
      <c r="AC36" s="153">
        <f t="shared" si="1"/>
        <v>138</v>
      </c>
      <c r="AD36" s="153">
        <f t="shared" si="1"/>
        <v>30</v>
      </c>
      <c r="AE36" s="153">
        <f t="shared" si="1"/>
        <v>1.62</v>
      </c>
      <c r="AF36" s="686"/>
      <c r="AG36" s="686"/>
      <c r="AH36" s="686"/>
      <c r="AI36" s="686"/>
      <c r="AJ36" s="686"/>
      <c r="AK36" s="687"/>
    </row>
    <row r="37" spans="1:37" s="3" customFormat="1" ht="47.25" customHeight="1">
      <c r="A37" s="751" t="s">
        <v>181</v>
      </c>
      <c r="B37" s="152" t="s">
        <v>57</v>
      </c>
      <c r="C37" s="152" t="s">
        <v>58</v>
      </c>
      <c r="D37" s="741"/>
      <c r="E37" s="741"/>
      <c r="F37" s="741"/>
      <c r="G37" s="741"/>
      <c r="H37" s="621">
        <v>235</v>
      </c>
      <c r="I37" s="613"/>
      <c r="J37" s="623">
        <v>83</v>
      </c>
      <c r="K37" s="623">
        <v>0.83</v>
      </c>
      <c r="L37" s="615">
        <v>0</v>
      </c>
      <c r="M37" s="615">
        <v>0</v>
      </c>
      <c r="N37" s="615" t="s">
        <v>610</v>
      </c>
      <c r="O37" s="615">
        <v>2.18</v>
      </c>
      <c r="P37" s="145">
        <v>150</v>
      </c>
      <c r="Q37" s="145"/>
      <c r="R37" s="145">
        <v>150</v>
      </c>
      <c r="S37" s="145">
        <v>3</v>
      </c>
      <c r="T37" s="742">
        <v>280</v>
      </c>
      <c r="U37" s="743"/>
      <c r="V37" s="744">
        <v>600</v>
      </c>
      <c r="W37" s="744">
        <v>9.08</v>
      </c>
      <c r="X37" s="744"/>
      <c r="Y37" s="744"/>
      <c r="Z37" s="744"/>
      <c r="AA37" s="744"/>
      <c r="AB37" s="744" t="s">
        <v>610</v>
      </c>
      <c r="AC37" s="744" t="s">
        <v>610</v>
      </c>
      <c r="AD37" s="2">
        <v>450</v>
      </c>
      <c r="AE37" s="2">
        <v>5.75</v>
      </c>
      <c r="AF37" s="145" t="s">
        <v>37</v>
      </c>
      <c r="AG37" s="145" t="s">
        <v>49</v>
      </c>
      <c r="AH37" s="145" t="s">
        <v>59</v>
      </c>
      <c r="AI37" s="145" t="s">
        <v>306</v>
      </c>
      <c r="AJ37" s="145" t="s">
        <v>101</v>
      </c>
      <c r="AK37" s="720"/>
    </row>
    <row r="38" spans="1:37" s="3" customFormat="1" ht="32.25" customHeight="1">
      <c r="A38" s="751" t="s">
        <v>183</v>
      </c>
      <c r="B38" s="152" t="s">
        <v>57</v>
      </c>
      <c r="C38" s="152" t="s">
        <v>182</v>
      </c>
      <c r="D38" s="655"/>
      <c r="E38" s="655"/>
      <c r="F38" s="655"/>
      <c r="G38" s="655"/>
      <c r="H38" s="623">
        <v>0</v>
      </c>
      <c r="I38" s="623">
        <v>0</v>
      </c>
      <c r="J38" s="621">
        <v>30</v>
      </c>
      <c r="K38" s="623">
        <v>0.59</v>
      </c>
      <c r="L38" s="615">
        <v>0</v>
      </c>
      <c r="M38" s="615">
        <v>0</v>
      </c>
      <c r="N38" s="615" t="s">
        <v>610</v>
      </c>
      <c r="O38" s="615">
        <v>1.21</v>
      </c>
      <c r="P38" s="145">
        <v>25</v>
      </c>
      <c r="Q38" s="145"/>
      <c r="R38" s="145">
        <v>25</v>
      </c>
      <c r="S38" s="145">
        <v>1.25</v>
      </c>
      <c r="T38" s="744">
        <v>120</v>
      </c>
      <c r="U38" s="743"/>
      <c r="V38" s="744">
        <v>80</v>
      </c>
      <c r="W38" s="744">
        <v>4.67</v>
      </c>
      <c r="X38" s="744"/>
      <c r="Y38" s="744"/>
      <c r="Z38" s="744"/>
      <c r="AA38" s="744"/>
      <c r="AB38" s="744" t="s">
        <v>610</v>
      </c>
      <c r="AC38" s="744" t="s">
        <v>610</v>
      </c>
      <c r="AD38" s="2">
        <v>140</v>
      </c>
      <c r="AE38" s="2">
        <v>8.5</v>
      </c>
      <c r="AF38" s="145" t="s">
        <v>9</v>
      </c>
      <c r="AG38" s="145" t="s">
        <v>49</v>
      </c>
      <c r="AH38" s="145" t="s">
        <v>295</v>
      </c>
      <c r="AI38" s="145" t="s">
        <v>306</v>
      </c>
      <c r="AJ38" s="145" t="s">
        <v>296</v>
      </c>
      <c r="AK38" s="720"/>
    </row>
    <row r="39" spans="1:37" s="3" customFormat="1" ht="31.5" customHeight="1">
      <c r="A39" s="751" t="s">
        <v>184</v>
      </c>
      <c r="B39" s="151" t="s">
        <v>52</v>
      </c>
      <c r="C39" s="152" t="s">
        <v>53</v>
      </c>
      <c r="D39" s="659"/>
      <c r="E39" s="659"/>
      <c r="F39" s="659"/>
      <c r="G39" s="659"/>
      <c r="H39" s="623">
        <v>27</v>
      </c>
      <c r="I39" s="623">
        <v>0</v>
      </c>
      <c r="J39" s="621">
        <v>27</v>
      </c>
      <c r="K39" s="623">
        <v>0.03</v>
      </c>
      <c r="L39" s="659"/>
      <c r="M39" s="659"/>
      <c r="N39" s="659"/>
      <c r="O39" s="659"/>
      <c r="P39" s="145">
        <v>2</v>
      </c>
      <c r="Q39" s="145"/>
      <c r="R39" s="145">
        <v>2</v>
      </c>
      <c r="S39" s="145">
        <v>0.1</v>
      </c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 t="s">
        <v>35</v>
      </c>
      <c r="AG39" s="145" t="s">
        <v>862</v>
      </c>
      <c r="AH39" s="145" t="s">
        <v>54</v>
      </c>
      <c r="AI39" s="145" t="s">
        <v>306</v>
      </c>
      <c r="AJ39" s="145" t="s">
        <v>319</v>
      </c>
      <c r="AK39" s="116"/>
    </row>
    <row r="40" spans="1:37" s="3" customFormat="1" ht="41.25" customHeight="1">
      <c r="A40" s="751" t="s">
        <v>186</v>
      </c>
      <c r="B40" s="151" t="s">
        <v>48</v>
      </c>
      <c r="C40" s="152" t="s">
        <v>95</v>
      </c>
      <c r="D40" s="655"/>
      <c r="E40" s="655"/>
      <c r="F40" s="655"/>
      <c r="G40" s="655"/>
      <c r="H40" s="623">
        <v>0</v>
      </c>
      <c r="I40" s="623">
        <v>0</v>
      </c>
      <c r="J40" s="623">
        <v>30</v>
      </c>
      <c r="K40" s="623">
        <v>0.46</v>
      </c>
      <c r="L40" s="655"/>
      <c r="M40" s="655"/>
      <c r="N40" s="655"/>
      <c r="O40" s="655"/>
      <c r="P40" s="145">
        <v>25</v>
      </c>
      <c r="Q40" s="145"/>
      <c r="R40" s="145">
        <v>25</v>
      </c>
      <c r="S40" s="145">
        <v>0.5</v>
      </c>
      <c r="T40" s="745">
        <v>80</v>
      </c>
      <c r="U40" s="745"/>
      <c r="V40" s="746">
        <v>100</v>
      </c>
      <c r="W40" s="744">
        <v>2.27</v>
      </c>
      <c r="X40" s="744"/>
      <c r="Y40" s="744"/>
      <c r="Z40" s="744"/>
      <c r="AA40" s="744"/>
      <c r="AB40" s="744" t="s">
        <v>610</v>
      </c>
      <c r="AC40" s="744" t="s">
        <v>610</v>
      </c>
      <c r="AD40" s="2">
        <v>150</v>
      </c>
      <c r="AE40" s="2">
        <v>1.5</v>
      </c>
      <c r="AF40" s="145" t="s">
        <v>37</v>
      </c>
      <c r="AG40" s="145" t="s">
        <v>49</v>
      </c>
      <c r="AH40" s="145" t="s">
        <v>297</v>
      </c>
      <c r="AI40" s="145" t="s">
        <v>306</v>
      </c>
      <c r="AJ40" s="145" t="s">
        <v>101</v>
      </c>
      <c r="AK40" s="116"/>
    </row>
    <row r="41" spans="1:37" s="3" customFormat="1" ht="40.5" customHeight="1">
      <c r="A41" s="751" t="s">
        <v>185</v>
      </c>
      <c r="B41" s="151" t="s">
        <v>180</v>
      </c>
      <c r="C41" s="152" t="s">
        <v>55</v>
      </c>
      <c r="D41" s="655"/>
      <c r="E41" s="655"/>
      <c r="F41" s="655"/>
      <c r="G41" s="655"/>
      <c r="H41" s="655"/>
      <c r="I41" s="655"/>
      <c r="J41" s="655"/>
      <c r="K41" s="655"/>
      <c r="L41" s="655"/>
      <c r="M41" s="655"/>
      <c r="N41" s="655"/>
      <c r="O41" s="655"/>
      <c r="P41" s="145">
        <v>5</v>
      </c>
      <c r="Q41" s="145"/>
      <c r="R41" s="145">
        <v>5</v>
      </c>
      <c r="S41" s="145">
        <v>0.5</v>
      </c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 t="s">
        <v>35</v>
      </c>
      <c r="AG41" s="145">
        <v>20</v>
      </c>
      <c r="AH41" s="145" t="s">
        <v>56</v>
      </c>
      <c r="AI41" s="145" t="s">
        <v>306</v>
      </c>
      <c r="AJ41" s="145" t="s">
        <v>101</v>
      </c>
      <c r="AK41" s="720"/>
    </row>
    <row r="42" spans="1:37" s="3" customFormat="1" ht="40.5" customHeight="1">
      <c r="A42" s="751" t="s">
        <v>883</v>
      </c>
      <c r="B42" s="33" t="s">
        <v>1155</v>
      </c>
      <c r="C42" s="103" t="s">
        <v>575</v>
      </c>
      <c r="D42" s="655"/>
      <c r="E42" s="655"/>
      <c r="F42" s="655"/>
      <c r="G42" s="655"/>
      <c r="H42" s="655"/>
      <c r="I42" s="655"/>
      <c r="J42" s="655"/>
      <c r="K42" s="655"/>
      <c r="L42" s="655"/>
      <c r="M42" s="655"/>
      <c r="N42" s="655"/>
      <c r="O42" s="655"/>
      <c r="P42" s="655"/>
      <c r="Q42" s="655"/>
      <c r="R42" s="655"/>
      <c r="S42" s="655"/>
      <c r="T42" s="744"/>
      <c r="U42" s="744"/>
      <c r="V42" s="744">
        <v>22</v>
      </c>
      <c r="W42" s="744">
        <v>0.86</v>
      </c>
      <c r="X42" s="744"/>
      <c r="Y42" s="744"/>
      <c r="Z42" s="744"/>
      <c r="AA42" s="744"/>
      <c r="AB42" s="744"/>
      <c r="AC42" s="744"/>
      <c r="AD42" s="744"/>
      <c r="AE42" s="744"/>
      <c r="AF42" s="744">
        <v>1</v>
      </c>
      <c r="AG42" s="744" t="s">
        <v>49</v>
      </c>
      <c r="AH42" s="744" t="s">
        <v>1180</v>
      </c>
      <c r="AI42" s="145" t="s">
        <v>306</v>
      </c>
      <c r="AJ42" s="55" t="s">
        <v>1156</v>
      </c>
      <c r="AK42" s="720"/>
    </row>
    <row r="43" spans="1:37" s="3" customFormat="1" ht="40.5" customHeight="1">
      <c r="A43" s="751" t="s">
        <v>1181</v>
      </c>
      <c r="B43" s="727" t="s">
        <v>1182</v>
      </c>
      <c r="C43" s="654" t="s">
        <v>610</v>
      </c>
      <c r="D43" s="655"/>
      <c r="E43" s="655"/>
      <c r="F43" s="655"/>
      <c r="G43" s="655"/>
      <c r="H43" s="655"/>
      <c r="I43" s="655"/>
      <c r="J43" s="655"/>
      <c r="K43" s="655"/>
      <c r="L43" s="728">
        <v>1</v>
      </c>
      <c r="M43" s="728">
        <v>0</v>
      </c>
      <c r="N43" s="728">
        <v>1</v>
      </c>
      <c r="O43" s="728">
        <v>0.5</v>
      </c>
      <c r="P43" s="728"/>
      <c r="Q43" s="728"/>
      <c r="R43" s="728"/>
      <c r="S43" s="728"/>
      <c r="T43" s="728"/>
      <c r="U43" s="728"/>
      <c r="V43" s="728"/>
      <c r="W43" s="728"/>
      <c r="X43" s="728"/>
      <c r="Y43" s="728"/>
      <c r="Z43" s="728"/>
      <c r="AA43" s="728"/>
      <c r="AB43" s="728"/>
      <c r="AC43" s="728"/>
      <c r="AD43" s="728"/>
      <c r="AE43" s="728"/>
      <c r="AF43" s="145" t="s">
        <v>1183</v>
      </c>
      <c r="AG43" s="145" t="s">
        <v>1183</v>
      </c>
      <c r="AH43" s="145" t="s">
        <v>1183</v>
      </c>
      <c r="AI43" s="145" t="s">
        <v>1183</v>
      </c>
      <c r="AJ43" s="145" t="s">
        <v>1183</v>
      </c>
      <c r="AK43" s="720"/>
    </row>
    <row r="44" spans="1:37" s="3" customFormat="1" ht="40.5" customHeight="1">
      <c r="A44" s="751" t="s">
        <v>570</v>
      </c>
      <c r="B44" s="1173" t="s">
        <v>232</v>
      </c>
      <c r="C44" s="92" t="s">
        <v>571</v>
      </c>
      <c r="D44" s="131"/>
      <c r="E44" s="131"/>
      <c r="F44" s="131">
        <v>32</v>
      </c>
      <c r="G44" s="9">
        <v>0.25</v>
      </c>
      <c r="H44" s="623">
        <v>30</v>
      </c>
      <c r="I44" s="623">
        <v>30</v>
      </c>
      <c r="J44" s="623">
        <v>2</v>
      </c>
      <c r="K44" s="623">
        <v>5</v>
      </c>
      <c r="L44" s="92"/>
      <c r="M44" s="92"/>
      <c r="N44" s="92"/>
      <c r="O44" s="92"/>
      <c r="P44" s="92"/>
      <c r="Q44" s="92"/>
      <c r="R44" s="92"/>
      <c r="S44" s="92"/>
      <c r="T44" s="557">
        <v>200</v>
      </c>
      <c r="U44" s="557">
        <v>0</v>
      </c>
      <c r="V44" s="630"/>
      <c r="W44" s="557"/>
      <c r="X44" s="557"/>
      <c r="Y44" s="557"/>
      <c r="Z44" s="557"/>
      <c r="AA44" s="557"/>
      <c r="AB44" s="557"/>
      <c r="AC44" s="557"/>
      <c r="AD44" s="557"/>
      <c r="AE44" s="557"/>
      <c r="AF44" s="145" t="s">
        <v>71</v>
      </c>
      <c r="AG44" s="145"/>
      <c r="AH44" s="145" t="s">
        <v>573</v>
      </c>
      <c r="AI44" s="55" t="s">
        <v>548</v>
      </c>
      <c r="AJ44" s="55" t="s">
        <v>306</v>
      </c>
      <c r="AK44" s="720"/>
    </row>
    <row r="45" spans="1:37" s="3" customFormat="1" ht="49.5" customHeight="1">
      <c r="A45" s="1232" t="s">
        <v>231</v>
      </c>
      <c r="B45" s="1174"/>
      <c r="C45" s="152" t="s">
        <v>159</v>
      </c>
      <c r="D45" s="68"/>
      <c r="E45" s="68"/>
      <c r="F45" s="68"/>
      <c r="G45" s="68"/>
      <c r="H45" s="623">
        <v>1</v>
      </c>
      <c r="I45" s="623">
        <v>0</v>
      </c>
      <c r="J45" s="623">
        <v>4</v>
      </c>
      <c r="K45" s="623">
        <v>1.5</v>
      </c>
      <c r="L45" s="729">
        <v>1</v>
      </c>
      <c r="M45" s="729">
        <v>0</v>
      </c>
      <c r="N45" s="730" t="s">
        <v>610</v>
      </c>
      <c r="O45" s="729">
        <v>1.2</v>
      </c>
      <c r="P45" s="145">
        <v>10</v>
      </c>
      <c r="Q45" s="145"/>
      <c r="R45" s="145">
        <v>30</v>
      </c>
      <c r="S45" s="145">
        <v>9</v>
      </c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 t="s">
        <v>233</v>
      </c>
      <c r="AG45" s="145" t="s">
        <v>1183</v>
      </c>
      <c r="AH45" s="145" t="s">
        <v>320</v>
      </c>
      <c r="AI45" s="145" t="s">
        <v>306</v>
      </c>
      <c r="AJ45" s="145" t="s">
        <v>323</v>
      </c>
      <c r="AK45" s="116"/>
    </row>
    <row r="46" spans="1:37" s="3" customFormat="1" ht="48" customHeight="1" hidden="1">
      <c r="A46" s="1232"/>
      <c r="B46" s="1174"/>
      <c r="C46" s="152" t="s">
        <v>234</v>
      </c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45" t="s">
        <v>37</v>
      </c>
      <c r="AG46" s="145" t="s">
        <v>1184</v>
      </c>
      <c r="AH46" s="145" t="s">
        <v>1185</v>
      </c>
      <c r="AI46" s="145" t="s">
        <v>306</v>
      </c>
      <c r="AJ46" s="145" t="s">
        <v>324</v>
      </c>
      <c r="AK46" s="116"/>
    </row>
    <row r="47" spans="1:37" s="3" customFormat="1" ht="47.25" customHeight="1" hidden="1">
      <c r="A47" s="1232"/>
      <c r="B47" s="1174"/>
      <c r="C47" s="152" t="s">
        <v>235</v>
      </c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45" t="s">
        <v>37</v>
      </c>
      <c r="AG47" s="145" t="s">
        <v>1186</v>
      </c>
      <c r="AH47" s="145" t="s">
        <v>1187</v>
      </c>
      <c r="AI47" s="145" t="s">
        <v>306</v>
      </c>
      <c r="AJ47" s="145" t="s">
        <v>324</v>
      </c>
      <c r="AK47" s="116"/>
    </row>
    <row r="48" spans="1:37" s="3" customFormat="1" ht="34.5" customHeight="1" hidden="1">
      <c r="A48" s="1232"/>
      <c r="B48" s="1175"/>
      <c r="C48" s="152" t="s">
        <v>236</v>
      </c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45" t="s">
        <v>9</v>
      </c>
      <c r="AG48" s="145" t="s">
        <v>1188</v>
      </c>
      <c r="AH48" s="145" t="s">
        <v>13</v>
      </c>
      <c r="AI48" s="145" t="s">
        <v>306</v>
      </c>
      <c r="AJ48" s="145" t="s">
        <v>324</v>
      </c>
      <c r="AK48" s="116"/>
    </row>
    <row r="49" spans="1:37" s="3" customFormat="1" ht="29.25" customHeight="1">
      <c r="A49" s="1151" t="s">
        <v>237</v>
      </c>
      <c r="B49" s="1160" t="s">
        <v>241</v>
      </c>
      <c r="C49" s="152" t="s">
        <v>242</v>
      </c>
      <c r="D49" s="410"/>
      <c r="E49" s="410"/>
      <c r="F49" s="410"/>
      <c r="G49" s="410"/>
      <c r="H49" s="410"/>
      <c r="I49" s="410"/>
      <c r="J49" s="410"/>
      <c r="K49" s="410"/>
      <c r="L49" s="410"/>
      <c r="M49" s="410"/>
      <c r="N49" s="410"/>
      <c r="O49" s="410"/>
      <c r="P49" s="410"/>
      <c r="Q49" s="410"/>
      <c r="R49" s="410"/>
      <c r="S49" s="410"/>
      <c r="T49" s="557">
        <v>60</v>
      </c>
      <c r="U49" s="557">
        <v>0</v>
      </c>
      <c r="V49" s="410"/>
      <c r="W49" s="410"/>
      <c r="X49" s="410"/>
      <c r="Y49" s="410"/>
      <c r="Z49" s="410"/>
      <c r="AA49" s="410"/>
      <c r="AB49" s="410"/>
      <c r="AC49" s="410"/>
      <c r="AD49" s="410"/>
      <c r="AE49" s="410"/>
      <c r="AF49" s="145" t="s">
        <v>301</v>
      </c>
      <c r="AG49" s="1031" t="s">
        <v>549</v>
      </c>
      <c r="AH49" s="1031" t="s">
        <v>13</v>
      </c>
      <c r="AI49" s="1031" t="s">
        <v>306</v>
      </c>
      <c r="AJ49" s="1031" t="s">
        <v>322</v>
      </c>
      <c r="AK49" s="116"/>
    </row>
    <row r="50" spans="1:37" s="3" customFormat="1" ht="29.25" customHeight="1" hidden="1">
      <c r="A50" s="1152"/>
      <c r="B50" s="1160"/>
      <c r="C50" s="152" t="s">
        <v>238</v>
      </c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145" t="s">
        <v>301</v>
      </c>
      <c r="AG50" s="1032"/>
      <c r="AH50" s="1032"/>
      <c r="AI50" s="1032"/>
      <c r="AJ50" s="1032"/>
      <c r="AK50" s="116"/>
    </row>
    <row r="51" spans="1:37" s="3" customFormat="1" ht="29.25" customHeight="1" hidden="1">
      <c r="A51" s="1152"/>
      <c r="B51" s="1160"/>
      <c r="C51" s="152" t="s">
        <v>239</v>
      </c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1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145" t="s">
        <v>301</v>
      </c>
      <c r="AG51" s="1032"/>
      <c r="AH51" s="1032"/>
      <c r="AI51" s="1032"/>
      <c r="AJ51" s="1032"/>
      <c r="AK51" s="116"/>
    </row>
    <row r="52" spans="1:37" s="3" customFormat="1" ht="29.25" customHeight="1">
      <c r="A52" s="1152"/>
      <c r="B52" s="1160"/>
      <c r="C52" s="152" t="s">
        <v>240</v>
      </c>
      <c r="D52" s="131"/>
      <c r="E52" s="131"/>
      <c r="F52" s="131"/>
      <c r="G52" s="1233">
        <v>0.1</v>
      </c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>
        <v>70</v>
      </c>
      <c r="AE52" s="411">
        <v>0.53</v>
      </c>
      <c r="AF52" s="145" t="s">
        <v>301</v>
      </c>
      <c r="AG52" s="1033"/>
      <c r="AH52" s="1033"/>
      <c r="AI52" s="1033"/>
      <c r="AJ52" s="1033"/>
      <c r="AK52" s="116"/>
    </row>
    <row r="53" spans="1:37" s="3" customFormat="1" ht="29.25" customHeight="1">
      <c r="A53" s="1152"/>
      <c r="B53" s="1160" t="s">
        <v>246</v>
      </c>
      <c r="C53" s="152" t="s">
        <v>243</v>
      </c>
      <c r="D53" s="411"/>
      <c r="E53" s="411"/>
      <c r="F53" s="411"/>
      <c r="G53" s="1234"/>
      <c r="H53" s="411"/>
      <c r="I53" s="411"/>
      <c r="J53" s="411"/>
      <c r="K53" s="411"/>
      <c r="L53" s="411"/>
      <c r="M53" s="411"/>
      <c r="N53" s="411"/>
      <c r="O53" s="411"/>
      <c r="P53" s="411"/>
      <c r="Q53" s="411"/>
      <c r="R53" s="411"/>
      <c r="S53" s="411"/>
      <c r="T53" s="411"/>
      <c r="U53" s="411"/>
      <c r="V53" s="411"/>
      <c r="W53" s="411"/>
      <c r="X53" s="411"/>
      <c r="Y53" s="411"/>
      <c r="Z53" s="411"/>
      <c r="AA53" s="411"/>
      <c r="AB53" s="411"/>
      <c r="AC53" s="411"/>
      <c r="AD53" s="411"/>
      <c r="AE53" s="411"/>
      <c r="AF53" s="145" t="s">
        <v>301</v>
      </c>
      <c r="AG53" s="1031" t="s">
        <v>549</v>
      </c>
      <c r="AH53" s="145" t="s">
        <v>311</v>
      </c>
      <c r="AI53" s="145" t="s">
        <v>306</v>
      </c>
      <c r="AJ53" s="145" t="s">
        <v>325</v>
      </c>
      <c r="AK53" s="116"/>
    </row>
    <row r="54" spans="1:37" s="3" customFormat="1" ht="29.25" customHeight="1" hidden="1">
      <c r="A54" s="1152"/>
      <c r="B54" s="1160"/>
      <c r="C54" s="152" t="s">
        <v>244</v>
      </c>
      <c r="D54" s="411"/>
      <c r="E54" s="411"/>
      <c r="F54" s="411"/>
      <c r="G54" s="411"/>
      <c r="H54" s="411"/>
      <c r="I54" s="411"/>
      <c r="J54" s="411"/>
      <c r="K54" s="411"/>
      <c r="L54" s="411"/>
      <c r="M54" s="411"/>
      <c r="N54" s="411"/>
      <c r="O54" s="411"/>
      <c r="P54" s="411"/>
      <c r="Q54" s="411"/>
      <c r="R54" s="411"/>
      <c r="S54" s="411"/>
      <c r="T54" s="411"/>
      <c r="U54" s="411"/>
      <c r="V54" s="411"/>
      <c r="W54" s="411"/>
      <c r="X54" s="411"/>
      <c r="Y54" s="411"/>
      <c r="Z54" s="411"/>
      <c r="AA54" s="411"/>
      <c r="AB54" s="411"/>
      <c r="AC54" s="411"/>
      <c r="AD54" s="411"/>
      <c r="AE54" s="411"/>
      <c r="AF54" s="145" t="s">
        <v>301</v>
      </c>
      <c r="AG54" s="1033"/>
      <c r="AH54" s="145" t="s">
        <v>311</v>
      </c>
      <c r="AI54" s="145" t="s">
        <v>306</v>
      </c>
      <c r="AJ54" s="145" t="s">
        <v>325</v>
      </c>
      <c r="AK54" s="116"/>
    </row>
    <row r="55" spans="1:37" s="3" customFormat="1" ht="36.75" customHeight="1" hidden="1">
      <c r="A55" s="1153"/>
      <c r="B55" s="147" t="s">
        <v>247</v>
      </c>
      <c r="C55" s="152" t="s">
        <v>245</v>
      </c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5" t="s">
        <v>41</v>
      </c>
      <c r="AG55" s="145" t="s">
        <v>1189</v>
      </c>
      <c r="AH55" s="145" t="s">
        <v>16</v>
      </c>
      <c r="AI55" s="145" t="s">
        <v>306</v>
      </c>
      <c r="AJ55" s="145" t="s">
        <v>326</v>
      </c>
      <c r="AK55" s="116"/>
    </row>
    <row r="56" spans="1:37" s="3" customFormat="1" ht="36.75" customHeight="1">
      <c r="A56" s="753" t="s">
        <v>741</v>
      </c>
      <c r="B56" s="705" t="s">
        <v>742</v>
      </c>
      <c r="C56" s="699" t="s">
        <v>743</v>
      </c>
      <c r="D56" s="699"/>
      <c r="E56" s="699"/>
      <c r="F56" s="699"/>
      <c r="G56" s="699"/>
      <c r="H56" s="699"/>
      <c r="I56" s="699"/>
      <c r="J56" s="699"/>
      <c r="K56" s="699"/>
      <c r="L56" s="729">
        <v>0</v>
      </c>
      <c r="M56" s="729">
        <v>0</v>
      </c>
      <c r="N56" s="730" t="s">
        <v>610</v>
      </c>
      <c r="O56" s="729">
        <v>0.1</v>
      </c>
      <c r="P56" s="729"/>
      <c r="Q56" s="729"/>
      <c r="R56" s="729"/>
      <c r="S56" s="729"/>
      <c r="T56" s="557">
        <v>60</v>
      </c>
      <c r="U56" s="557">
        <v>0</v>
      </c>
      <c r="V56" s="729"/>
      <c r="W56" s="729"/>
      <c r="X56" s="729"/>
      <c r="Y56" s="729"/>
      <c r="Z56" s="729"/>
      <c r="AA56" s="729"/>
      <c r="AB56" s="729"/>
      <c r="AC56" s="729"/>
      <c r="AD56" s="729"/>
      <c r="AE56" s="729"/>
      <c r="AF56" s="595" t="s">
        <v>15</v>
      </c>
      <c r="AG56" s="148"/>
      <c r="AH56" s="595" t="s">
        <v>64</v>
      </c>
      <c r="AI56" s="747" t="s">
        <v>306</v>
      </c>
      <c r="AJ56" s="747" t="s">
        <v>306</v>
      </c>
      <c r="AK56" s="160"/>
    </row>
    <row r="57" spans="1:37" s="3" customFormat="1" ht="36.75" customHeight="1">
      <c r="A57" s="753" t="s">
        <v>744</v>
      </c>
      <c r="B57" s="705" t="s">
        <v>745</v>
      </c>
      <c r="C57" s="699" t="s">
        <v>746</v>
      </c>
      <c r="D57" s="131"/>
      <c r="E57" s="131"/>
      <c r="F57" s="131"/>
      <c r="G57" s="9">
        <v>0.5</v>
      </c>
      <c r="H57" s="703"/>
      <c r="I57" s="703"/>
      <c r="J57" s="703"/>
      <c r="K57" s="703"/>
      <c r="L57" s="729">
        <v>0</v>
      </c>
      <c r="M57" s="729">
        <v>0</v>
      </c>
      <c r="N57" s="730" t="s">
        <v>610</v>
      </c>
      <c r="O57" s="729">
        <v>60</v>
      </c>
      <c r="P57" s="729"/>
      <c r="Q57" s="729"/>
      <c r="R57" s="729"/>
      <c r="S57" s="729"/>
      <c r="T57" s="729"/>
      <c r="U57" s="729"/>
      <c r="V57" s="729"/>
      <c r="W57" s="729"/>
      <c r="X57" s="729"/>
      <c r="Y57" s="729"/>
      <c r="Z57" s="729"/>
      <c r="AA57" s="729"/>
      <c r="AB57" s="729"/>
      <c r="AC57" s="729"/>
      <c r="AD57" s="729"/>
      <c r="AE57" s="729"/>
      <c r="AF57" s="595" t="s">
        <v>747</v>
      </c>
      <c r="AG57" s="148"/>
      <c r="AH57" s="595" t="s">
        <v>748</v>
      </c>
      <c r="AI57" s="747" t="s">
        <v>306</v>
      </c>
      <c r="AJ57" s="747" t="s">
        <v>306</v>
      </c>
      <c r="AK57" s="160"/>
    </row>
    <row r="58" spans="1:37" s="4" customFormat="1" ht="16.5" thickBot="1">
      <c r="A58" s="245"/>
      <c r="B58" s="1129" t="s">
        <v>30</v>
      </c>
      <c r="C58" s="1129"/>
      <c r="D58" s="154">
        <f>SUM(D37:D57)</f>
        <v>0</v>
      </c>
      <c r="E58" s="154">
        <f aca="true" t="shared" si="2" ref="E58:AE58">SUM(E37:E57)</f>
        <v>0</v>
      </c>
      <c r="F58" s="154">
        <f t="shared" si="2"/>
        <v>32</v>
      </c>
      <c r="G58" s="154">
        <f t="shared" si="2"/>
        <v>0.85</v>
      </c>
      <c r="H58" s="154">
        <f t="shared" si="2"/>
        <v>293</v>
      </c>
      <c r="I58" s="154">
        <f t="shared" si="2"/>
        <v>30</v>
      </c>
      <c r="J58" s="154">
        <f t="shared" si="2"/>
        <v>176</v>
      </c>
      <c r="K58" s="154">
        <f t="shared" si="2"/>
        <v>8.41</v>
      </c>
      <c r="L58" s="154">
        <f t="shared" si="2"/>
        <v>2</v>
      </c>
      <c r="M58" s="154">
        <f t="shared" si="2"/>
        <v>0</v>
      </c>
      <c r="N58" s="154">
        <f t="shared" si="2"/>
        <v>1</v>
      </c>
      <c r="O58" s="154">
        <f t="shared" si="2"/>
        <v>65.19</v>
      </c>
      <c r="P58" s="154">
        <f t="shared" si="2"/>
        <v>217</v>
      </c>
      <c r="Q58" s="154">
        <f t="shared" si="2"/>
        <v>0</v>
      </c>
      <c r="R58" s="154">
        <f t="shared" si="2"/>
        <v>237</v>
      </c>
      <c r="S58" s="154">
        <f t="shared" si="2"/>
        <v>14.35</v>
      </c>
      <c r="T58" s="154">
        <f t="shared" si="2"/>
        <v>800</v>
      </c>
      <c r="U58" s="154">
        <f t="shared" si="2"/>
        <v>0</v>
      </c>
      <c r="V58" s="154">
        <f t="shared" si="2"/>
        <v>802</v>
      </c>
      <c r="W58" s="154">
        <f t="shared" si="2"/>
        <v>16.88</v>
      </c>
      <c r="X58" s="154">
        <f t="shared" si="2"/>
        <v>0</v>
      </c>
      <c r="Y58" s="154">
        <f t="shared" si="2"/>
        <v>0</v>
      </c>
      <c r="Z58" s="154">
        <f t="shared" si="2"/>
        <v>0</v>
      </c>
      <c r="AA58" s="154">
        <f t="shared" si="2"/>
        <v>0</v>
      </c>
      <c r="AB58" s="154">
        <f t="shared" si="2"/>
        <v>0</v>
      </c>
      <c r="AC58" s="154">
        <f t="shared" si="2"/>
        <v>0</v>
      </c>
      <c r="AD58" s="154">
        <f t="shared" si="2"/>
        <v>810</v>
      </c>
      <c r="AE58" s="154">
        <f t="shared" si="2"/>
        <v>16.28</v>
      </c>
      <c r="AF58" s="706"/>
      <c r="AG58" s="707"/>
      <c r="AH58" s="707"/>
      <c r="AI58" s="707"/>
      <c r="AJ58" s="707"/>
      <c r="AK58" s="731"/>
    </row>
    <row r="59" spans="1:37" s="4" customFormat="1" ht="16.5" thickBot="1">
      <c r="A59" s="249"/>
      <c r="B59" s="1223" t="s">
        <v>17</v>
      </c>
      <c r="C59" s="1224"/>
      <c r="D59" s="164">
        <f>SUM(D21,D36,D58)</f>
        <v>0</v>
      </c>
      <c r="E59" s="164">
        <f aca="true" t="shared" si="3" ref="E59:AE59">SUM(E21,E36,E58)</f>
        <v>0</v>
      </c>
      <c r="F59" s="164">
        <f t="shared" si="3"/>
        <v>384</v>
      </c>
      <c r="G59" s="164">
        <f t="shared" si="3"/>
        <v>13.81</v>
      </c>
      <c r="H59" s="164">
        <f t="shared" si="3"/>
        <v>313</v>
      </c>
      <c r="I59" s="164">
        <f t="shared" si="3"/>
        <v>30</v>
      </c>
      <c r="J59" s="164">
        <f t="shared" si="3"/>
        <v>181</v>
      </c>
      <c r="K59" s="164">
        <f t="shared" si="3"/>
        <v>8.91</v>
      </c>
      <c r="L59" s="164">
        <f t="shared" si="3"/>
        <v>101</v>
      </c>
      <c r="M59" s="164">
        <f t="shared" si="3"/>
        <v>3</v>
      </c>
      <c r="N59" s="164">
        <f t="shared" si="3"/>
        <v>97</v>
      </c>
      <c r="O59" s="164">
        <f t="shared" si="3"/>
        <v>70.42999999999999</v>
      </c>
      <c r="P59" s="164">
        <f t="shared" si="3"/>
        <v>239</v>
      </c>
      <c r="Q59" s="164">
        <f t="shared" si="3"/>
        <v>0</v>
      </c>
      <c r="R59" s="164">
        <f t="shared" si="3"/>
        <v>320</v>
      </c>
      <c r="S59" s="164">
        <f t="shared" si="3"/>
        <v>27.16</v>
      </c>
      <c r="T59" s="164">
        <f t="shared" si="3"/>
        <v>1284</v>
      </c>
      <c r="U59" s="164">
        <f t="shared" si="3"/>
        <v>280</v>
      </c>
      <c r="V59" s="164">
        <f t="shared" si="3"/>
        <v>1366</v>
      </c>
      <c r="W59" s="164">
        <f t="shared" si="3"/>
        <v>38.06</v>
      </c>
      <c r="X59" s="164">
        <f t="shared" si="3"/>
        <v>0</v>
      </c>
      <c r="Y59" s="164">
        <f t="shared" si="3"/>
        <v>0</v>
      </c>
      <c r="Z59" s="164">
        <f t="shared" si="3"/>
        <v>0</v>
      </c>
      <c r="AA59" s="164">
        <f t="shared" si="3"/>
        <v>0</v>
      </c>
      <c r="AB59" s="164">
        <f t="shared" si="3"/>
        <v>137</v>
      </c>
      <c r="AC59" s="164">
        <f t="shared" si="3"/>
        <v>154</v>
      </c>
      <c r="AD59" s="164">
        <f t="shared" si="3"/>
        <v>864</v>
      </c>
      <c r="AE59" s="164">
        <f t="shared" si="3"/>
        <v>18.71</v>
      </c>
      <c r="AF59" s="710"/>
      <c r="AG59" s="710"/>
      <c r="AH59" s="710"/>
      <c r="AI59" s="710"/>
      <c r="AJ59" s="710"/>
      <c r="AK59" s="712"/>
    </row>
    <row r="60" ht="15.75">
      <c r="B60" s="19"/>
    </row>
  </sheetData>
  <sheetProtection/>
  <mergeCells count="52">
    <mergeCell ref="B59:C59"/>
    <mergeCell ref="AI49:AI52"/>
    <mergeCell ref="AJ49:AJ52"/>
    <mergeCell ref="G52:G53"/>
    <mergeCell ref="B53:B54"/>
    <mergeCell ref="AG53:AG54"/>
    <mergeCell ref="B58:C58"/>
    <mergeCell ref="B44:B48"/>
    <mergeCell ref="A45:A48"/>
    <mergeCell ref="A49:A55"/>
    <mergeCell ref="B49:B52"/>
    <mergeCell ref="AG49:AG52"/>
    <mergeCell ref="AH49:AH52"/>
    <mergeCell ref="C11:C13"/>
    <mergeCell ref="C14:C17"/>
    <mergeCell ref="C18:C19"/>
    <mergeCell ref="B21:C21"/>
    <mergeCell ref="AI32:AI35"/>
    <mergeCell ref="B36:C36"/>
    <mergeCell ref="AG4:AG5"/>
    <mergeCell ref="AH4:AH5"/>
    <mergeCell ref="AI4:AI5"/>
    <mergeCell ref="AJ4:AJ5"/>
    <mergeCell ref="AK4:AK5"/>
    <mergeCell ref="C6:C9"/>
    <mergeCell ref="V4:W4"/>
    <mergeCell ref="X4:Y4"/>
    <mergeCell ref="Z4:AA4"/>
    <mergeCell ref="AB4:AC4"/>
    <mergeCell ref="AD4:AE4"/>
    <mergeCell ref="AF4:AF5"/>
    <mergeCell ref="J4:K4"/>
    <mergeCell ref="L4:M4"/>
    <mergeCell ref="N4:O4"/>
    <mergeCell ref="P4:Q4"/>
    <mergeCell ref="R4:S4"/>
    <mergeCell ref="T4:U4"/>
    <mergeCell ref="A4:A5"/>
    <mergeCell ref="B4:B5"/>
    <mergeCell ref="C4:C5"/>
    <mergeCell ref="D4:E4"/>
    <mergeCell ref="F4:G4"/>
    <mergeCell ref="H4:I4"/>
    <mergeCell ref="A1:AK1"/>
    <mergeCell ref="A2:AK2"/>
    <mergeCell ref="D3:G3"/>
    <mergeCell ref="H3:K3"/>
    <mergeCell ref="L3:O3"/>
    <mergeCell ref="P3:S3"/>
    <mergeCell ref="T3:W3"/>
    <mergeCell ref="X3:AA3"/>
    <mergeCell ref="AB3:AE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42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6" sqref="A6"/>
    </sheetView>
  </sheetViews>
  <sheetFormatPr defaultColWidth="9.140625" defaultRowHeight="15"/>
  <cols>
    <col min="1" max="1" width="15.421875" style="18" customWidth="1"/>
    <col min="2" max="2" width="20.7109375" style="1" customWidth="1"/>
    <col min="3" max="3" width="19.421875" style="10" customWidth="1"/>
    <col min="4" max="4" width="7.421875" style="10" customWidth="1"/>
    <col min="5" max="15" width="7.57421875" style="10" customWidth="1"/>
    <col min="16" max="16" width="8.57421875" style="10" customWidth="1"/>
    <col min="17" max="17" width="9.00390625" style="10" customWidth="1"/>
    <col min="18" max="18" width="8.140625" style="10" customWidth="1"/>
    <col min="19" max="19" width="10.57421875" style="10" customWidth="1"/>
    <col min="20" max="20" width="7.8515625" style="10" customWidth="1"/>
    <col min="21" max="21" width="7.28125" style="10" customWidth="1"/>
    <col min="22" max="22" width="8.28125" style="10" customWidth="1"/>
    <col min="23" max="23" width="7.8515625" style="10" customWidth="1"/>
    <col min="24" max="24" width="8.7109375" style="10" customWidth="1"/>
    <col min="25" max="31" width="7.8515625" style="10" customWidth="1"/>
    <col min="32" max="32" width="7.140625" style="11" customWidth="1"/>
    <col min="33" max="33" width="6.8515625" style="11" customWidth="1"/>
    <col min="34" max="34" width="6.28125" style="4" customWidth="1"/>
    <col min="35" max="38" width="9.421875" style="4" customWidth="1"/>
    <col min="39" max="47" width="9.421875" style="114" customWidth="1"/>
    <col min="48" max="48" width="11.28125" style="4" customWidth="1"/>
    <col min="49" max="49" width="20.7109375" style="4" customWidth="1"/>
    <col min="50" max="50" width="36.00390625" style="13" customWidth="1"/>
    <col min="51" max="51" width="17.8515625" style="3" customWidth="1"/>
    <col min="52" max="52" width="35.8515625" style="3" customWidth="1"/>
    <col min="53" max="16384" width="9.140625" style="4" customWidth="1"/>
  </cols>
  <sheetData>
    <row r="1" spans="1:52" s="1" customFormat="1" ht="21" thickBot="1">
      <c r="A1" s="1162" t="s">
        <v>65</v>
      </c>
      <c r="B1" s="1163"/>
      <c r="C1" s="1163"/>
      <c r="D1" s="1163"/>
      <c r="E1" s="1163"/>
      <c r="F1" s="1163"/>
      <c r="G1" s="1163"/>
      <c r="H1" s="1163"/>
      <c r="I1" s="1163"/>
      <c r="J1" s="1163"/>
      <c r="K1" s="1163"/>
      <c r="L1" s="1163"/>
      <c r="M1" s="1163"/>
      <c r="N1" s="1163"/>
      <c r="O1" s="1163"/>
      <c r="P1" s="1163"/>
      <c r="Q1" s="1163"/>
      <c r="R1" s="1163"/>
      <c r="S1" s="1163"/>
      <c r="T1" s="1163"/>
      <c r="U1" s="1163"/>
      <c r="V1" s="1163"/>
      <c r="W1" s="1163"/>
      <c r="X1" s="1163"/>
      <c r="Y1" s="1163"/>
      <c r="Z1" s="1163"/>
      <c r="AA1" s="1163"/>
      <c r="AB1" s="1163"/>
      <c r="AC1" s="1163"/>
      <c r="AD1" s="1163"/>
      <c r="AE1" s="1163"/>
      <c r="AF1" s="1163"/>
      <c r="AG1" s="1163"/>
      <c r="AH1" s="1163"/>
      <c r="AI1" s="1163"/>
      <c r="AJ1" s="1163"/>
      <c r="AK1" s="1163"/>
      <c r="AL1" s="1163"/>
      <c r="AM1" s="1163"/>
      <c r="AN1" s="1163"/>
      <c r="AO1" s="1163"/>
      <c r="AP1" s="1163"/>
      <c r="AQ1" s="1163"/>
      <c r="AR1" s="1163"/>
      <c r="AS1" s="1163"/>
      <c r="AT1" s="1163"/>
      <c r="AU1" s="1163"/>
      <c r="AV1" s="1163"/>
      <c r="AW1" s="1163"/>
      <c r="AX1" s="1163"/>
      <c r="AY1" s="1163"/>
      <c r="AZ1" s="1164"/>
    </row>
    <row r="2" spans="1:52" s="1" customFormat="1" ht="18.75" thickBot="1">
      <c r="A2" s="1237" t="s">
        <v>550</v>
      </c>
      <c r="B2" s="1238"/>
      <c r="C2" s="1238"/>
      <c r="D2" s="1238"/>
      <c r="E2" s="1238"/>
      <c r="F2" s="1238"/>
      <c r="G2" s="1238"/>
      <c r="H2" s="1238"/>
      <c r="I2" s="1238"/>
      <c r="J2" s="1238"/>
      <c r="K2" s="1238"/>
      <c r="L2" s="1238"/>
      <c r="M2" s="1238"/>
      <c r="N2" s="1238"/>
      <c r="O2" s="1238"/>
      <c r="P2" s="1238"/>
      <c r="Q2" s="1238"/>
      <c r="R2" s="1238"/>
      <c r="S2" s="1238"/>
      <c r="T2" s="1238"/>
      <c r="U2" s="1238"/>
      <c r="V2" s="1238"/>
      <c r="W2" s="1238"/>
      <c r="X2" s="1238"/>
      <c r="Y2" s="1238"/>
      <c r="Z2" s="1238"/>
      <c r="AA2" s="1238"/>
      <c r="AB2" s="1238"/>
      <c r="AC2" s="1238"/>
      <c r="AD2" s="1238"/>
      <c r="AE2" s="1238"/>
      <c r="AF2" s="1238"/>
      <c r="AG2" s="1238"/>
      <c r="AH2" s="1238"/>
      <c r="AI2" s="1238"/>
      <c r="AJ2" s="1238"/>
      <c r="AK2" s="1238"/>
      <c r="AL2" s="1238"/>
      <c r="AM2" s="1238"/>
      <c r="AN2" s="1238"/>
      <c r="AO2" s="1238"/>
      <c r="AP2" s="1238"/>
      <c r="AQ2" s="1238"/>
      <c r="AR2" s="1238"/>
      <c r="AS2" s="1238"/>
      <c r="AT2" s="1238"/>
      <c r="AU2" s="1238"/>
      <c r="AV2" s="1238"/>
      <c r="AW2" s="1238"/>
      <c r="AX2" s="1238"/>
      <c r="AY2" s="1238"/>
      <c r="AZ2" s="1239"/>
    </row>
    <row r="3" spans="1:52" s="1" customFormat="1" ht="18.75" thickBot="1">
      <c r="A3" s="1063"/>
      <c r="B3" s="1064"/>
      <c r="C3" s="1065"/>
      <c r="D3" s="1066" t="s">
        <v>884</v>
      </c>
      <c r="E3" s="1064"/>
      <c r="F3" s="1064"/>
      <c r="G3" s="1065"/>
      <c r="H3" s="1066" t="s">
        <v>907</v>
      </c>
      <c r="I3" s="1064"/>
      <c r="J3" s="1064"/>
      <c r="K3" s="1065"/>
      <c r="L3" s="1066" t="s">
        <v>908</v>
      </c>
      <c r="M3" s="1064"/>
      <c r="N3" s="1064"/>
      <c r="O3" s="1065"/>
      <c r="P3" s="1066" t="s">
        <v>574</v>
      </c>
      <c r="Q3" s="1064"/>
      <c r="R3" s="1064"/>
      <c r="S3" s="1065"/>
      <c r="T3" s="1066" t="s">
        <v>633</v>
      </c>
      <c r="U3" s="1064"/>
      <c r="V3" s="1064"/>
      <c r="W3" s="1065"/>
      <c r="X3" s="1066" t="s">
        <v>916</v>
      </c>
      <c r="Y3" s="1064"/>
      <c r="Z3" s="1064"/>
      <c r="AA3" s="1065"/>
      <c r="AB3" s="1066" t="s">
        <v>676</v>
      </c>
      <c r="AC3" s="1064"/>
      <c r="AD3" s="1064"/>
      <c r="AE3" s="1065"/>
      <c r="AF3" s="1066" t="s">
        <v>1</v>
      </c>
      <c r="AG3" s="1064"/>
      <c r="AH3" s="1064"/>
      <c r="AI3" s="1065"/>
      <c r="AJ3" s="1066" t="s">
        <v>551</v>
      </c>
      <c r="AK3" s="1064"/>
      <c r="AL3" s="1064"/>
      <c r="AM3" s="1065"/>
      <c r="AN3" s="1066" t="s">
        <v>854</v>
      </c>
      <c r="AO3" s="1064"/>
      <c r="AP3" s="1064"/>
      <c r="AQ3" s="1065"/>
      <c r="AR3" s="1066" t="s">
        <v>947</v>
      </c>
      <c r="AS3" s="1064"/>
      <c r="AT3" s="1064"/>
      <c r="AU3" s="1065"/>
      <c r="AV3" s="1066"/>
      <c r="AW3" s="1064"/>
      <c r="AX3" s="1064"/>
      <c r="AY3" s="1064"/>
      <c r="AZ3" s="1067"/>
    </row>
    <row r="4" spans="1:52" s="7" customFormat="1" ht="15.75" customHeight="1">
      <c r="A4" s="1235" t="s">
        <v>116</v>
      </c>
      <c r="B4" s="1051" t="s">
        <v>43</v>
      </c>
      <c r="C4" s="1051" t="s">
        <v>20</v>
      </c>
      <c r="D4" s="1117" t="s">
        <v>112</v>
      </c>
      <c r="E4" s="1117"/>
      <c r="F4" s="1117" t="s">
        <v>113</v>
      </c>
      <c r="G4" s="1117"/>
      <c r="H4" s="1117" t="s">
        <v>112</v>
      </c>
      <c r="I4" s="1117"/>
      <c r="J4" s="1117" t="s">
        <v>113</v>
      </c>
      <c r="K4" s="1117"/>
      <c r="L4" s="1117" t="s">
        <v>112</v>
      </c>
      <c r="M4" s="1117"/>
      <c r="N4" s="1117" t="s">
        <v>113</v>
      </c>
      <c r="O4" s="1117"/>
      <c r="P4" s="1117" t="s">
        <v>112</v>
      </c>
      <c r="Q4" s="1117"/>
      <c r="R4" s="1117" t="s">
        <v>113</v>
      </c>
      <c r="S4" s="1117"/>
      <c r="T4" s="1117" t="s">
        <v>112</v>
      </c>
      <c r="U4" s="1117"/>
      <c r="V4" s="1117" t="s">
        <v>113</v>
      </c>
      <c r="W4" s="1117"/>
      <c r="X4" s="1117" t="s">
        <v>112</v>
      </c>
      <c r="Y4" s="1117"/>
      <c r="Z4" s="1117" t="s">
        <v>113</v>
      </c>
      <c r="AA4" s="1117"/>
      <c r="AB4" s="1117" t="s">
        <v>112</v>
      </c>
      <c r="AC4" s="1117"/>
      <c r="AD4" s="1117" t="s">
        <v>113</v>
      </c>
      <c r="AE4" s="1117"/>
      <c r="AF4" s="1117" t="s">
        <v>112</v>
      </c>
      <c r="AG4" s="1117"/>
      <c r="AH4" s="1117" t="s">
        <v>113</v>
      </c>
      <c r="AI4" s="1117"/>
      <c r="AJ4" s="1117" t="s">
        <v>112</v>
      </c>
      <c r="AK4" s="1117"/>
      <c r="AL4" s="1117" t="s">
        <v>113</v>
      </c>
      <c r="AM4" s="1117"/>
      <c r="AN4" s="1117" t="s">
        <v>112</v>
      </c>
      <c r="AO4" s="1117"/>
      <c r="AP4" s="1117" t="s">
        <v>113</v>
      </c>
      <c r="AQ4" s="1117"/>
      <c r="AR4" s="1117" t="s">
        <v>112</v>
      </c>
      <c r="AS4" s="1117"/>
      <c r="AT4" s="1117" t="s">
        <v>113</v>
      </c>
      <c r="AU4" s="1117"/>
      <c r="AV4" s="1117" t="s">
        <v>4</v>
      </c>
      <c r="AW4" s="1117" t="s">
        <v>855</v>
      </c>
      <c r="AX4" s="1117" t="s">
        <v>5</v>
      </c>
      <c r="AY4" s="1119" t="s">
        <v>83</v>
      </c>
      <c r="AZ4" s="1158" t="s">
        <v>84</v>
      </c>
    </row>
    <row r="5" spans="1:52" s="7" customFormat="1" ht="110.25" thickBot="1">
      <c r="A5" s="1236"/>
      <c r="B5" s="1052"/>
      <c r="C5" s="1052"/>
      <c r="D5" s="25" t="s">
        <v>6</v>
      </c>
      <c r="E5" s="25" t="s">
        <v>7</v>
      </c>
      <c r="F5" s="25" t="s">
        <v>6</v>
      </c>
      <c r="G5" s="25" t="s">
        <v>96</v>
      </c>
      <c r="H5" s="25" t="s">
        <v>6</v>
      </c>
      <c r="I5" s="25" t="s">
        <v>7</v>
      </c>
      <c r="J5" s="25" t="s">
        <v>6</v>
      </c>
      <c r="K5" s="25" t="s">
        <v>96</v>
      </c>
      <c r="L5" s="25" t="s">
        <v>6</v>
      </c>
      <c r="M5" s="25" t="s">
        <v>7</v>
      </c>
      <c r="N5" s="25" t="s">
        <v>6</v>
      </c>
      <c r="O5" s="25" t="s">
        <v>96</v>
      </c>
      <c r="P5" s="25" t="s">
        <v>6</v>
      </c>
      <c r="Q5" s="25" t="s">
        <v>7</v>
      </c>
      <c r="R5" s="25" t="s">
        <v>6</v>
      </c>
      <c r="S5" s="25" t="s">
        <v>96</v>
      </c>
      <c r="T5" s="25" t="s">
        <v>6</v>
      </c>
      <c r="U5" s="25" t="s">
        <v>7</v>
      </c>
      <c r="V5" s="25" t="s">
        <v>6</v>
      </c>
      <c r="W5" s="25" t="s">
        <v>96</v>
      </c>
      <c r="X5" s="25" t="s">
        <v>6</v>
      </c>
      <c r="Y5" s="25" t="s">
        <v>7</v>
      </c>
      <c r="Z5" s="25" t="s">
        <v>6</v>
      </c>
      <c r="AA5" s="25" t="s">
        <v>96</v>
      </c>
      <c r="AB5" s="25" t="s">
        <v>6</v>
      </c>
      <c r="AC5" s="25" t="s">
        <v>7</v>
      </c>
      <c r="AD5" s="25" t="s">
        <v>6</v>
      </c>
      <c r="AE5" s="25" t="s">
        <v>96</v>
      </c>
      <c r="AF5" s="25" t="s">
        <v>6</v>
      </c>
      <c r="AG5" s="25" t="s">
        <v>7</v>
      </c>
      <c r="AH5" s="25" t="s">
        <v>6</v>
      </c>
      <c r="AI5" s="25" t="s">
        <v>96</v>
      </c>
      <c r="AJ5" s="25" t="s">
        <v>6</v>
      </c>
      <c r="AK5" s="25" t="s">
        <v>7</v>
      </c>
      <c r="AL5" s="25" t="s">
        <v>6</v>
      </c>
      <c r="AM5" s="111" t="s">
        <v>96</v>
      </c>
      <c r="AN5" s="25" t="s">
        <v>6</v>
      </c>
      <c r="AO5" s="25" t="s">
        <v>7</v>
      </c>
      <c r="AP5" s="25" t="s">
        <v>6</v>
      </c>
      <c r="AQ5" s="111" t="s">
        <v>96</v>
      </c>
      <c r="AR5" s="25" t="s">
        <v>6</v>
      </c>
      <c r="AS5" s="25" t="s">
        <v>7</v>
      </c>
      <c r="AT5" s="25" t="s">
        <v>6</v>
      </c>
      <c r="AU5" s="111" t="s">
        <v>96</v>
      </c>
      <c r="AV5" s="1118"/>
      <c r="AW5" s="1118"/>
      <c r="AX5" s="1118"/>
      <c r="AY5" s="1120"/>
      <c r="AZ5" s="1159"/>
    </row>
    <row r="6" spans="1:52" s="8" customFormat="1" ht="45">
      <c r="A6" s="202" t="s">
        <v>195</v>
      </c>
      <c r="B6" s="151" t="s">
        <v>74</v>
      </c>
      <c r="C6" s="145" t="s">
        <v>92</v>
      </c>
      <c r="D6" s="33">
        <v>20</v>
      </c>
      <c r="E6" s="33">
        <v>2</v>
      </c>
      <c r="F6" s="33">
        <v>9</v>
      </c>
      <c r="G6" s="33">
        <v>1.7</v>
      </c>
      <c r="H6" s="101">
        <v>2</v>
      </c>
      <c r="I6" s="145">
        <v>0</v>
      </c>
      <c r="J6" s="101">
        <v>8</v>
      </c>
      <c r="K6" s="101">
        <v>1.35</v>
      </c>
      <c r="L6" s="98">
        <v>20</v>
      </c>
      <c r="M6" s="98">
        <v>0</v>
      </c>
      <c r="N6" s="98">
        <v>16</v>
      </c>
      <c r="O6" s="98">
        <v>2.85</v>
      </c>
      <c r="P6" s="33">
        <v>16</v>
      </c>
      <c r="Q6" s="33">
        <v>30</v>
      </c>
      <c r="R6" s="33">
        <v>24</v>
      </c>
      <c r="S6" s="33">
        <v>4.27</v>
      </c>
      <c r="T6" s="271">
        <v>60</v>
      </c>
      <c r="U6" s="271">
        <v>0</v>
      </c>
      <c r="V6" s="33">
        <v>60</v>
      </c>
      <c r="W6" s="33">
        <v>10.46</v>
      </c>
      <c r="X6" s="33"/>
      <c r="Y6" s="33"/>
      <c r="Z6" s="33"/>
      <c r="AA6" s="33"/>
      <c r="AB6" s="195">
        <v>60</v>
      </c>
      <c r="AC6" s="195">
        <v>50</v>
      </c>
      <c r="AD6" s="195">
        <f>AG6*AH6</f>
        <v>0</v>
      </c>
      <c r="AE6" s="195">
        <v>3.07</v>
      </c>
      <c r="AF6" s="33"/>
      <c r="AG6" s="145"/>
      <c r="AH6" s="145">
        <v>99</v>
      </c>
      <c r="AI6" s="30">
        <v>19</v>
      </c>
      <c r="AJ6" s="145">
        <v>66</v>
      </c>
      <c r="AK6" s="145">
        <v>0</v>
      </c>
      <c r="AL6" s="145">
        <v>30</v>
      </c>
      <c r="AM6" s="112">
        <v>5.5</v>
      </c>
      <c r="AN6" s="168" t="s">
        <v>610</v>
      </c>
      <c r="AO6" s="168" t="s">
        <v>610</v>
      </c>
      <c r="AP6" s="150">
        <v>216</v>
      </c>
      <c r="AQ6" s="33">
        <v>69.13</v>
      </c>
      <c r="AR6" s="286">
        <v>6</v>
      </c>
      <c r="AS6" s="286">
        <v>0</v>
      </c>
      <c r="AT6" s="286">
        <v>3</v>
      </c>
      <c r="AU6" s="287">
        <v>0.6</v>
      </c>
      <c r="AV6" s="145" t="s">
        <v>99</v>
      </c>
      <c r="AW6" s="286">
        <v>3</v>
      </c>
      <c r="AX6" s="145" t="s">
        <v>67</v>
      </c>
      <c r="AY6" s="150" t="s">
        <v>306</v>
      </c>
      <c r="AZ6" s="116" t="s">
        <v>108</v>
      </c>
    </row>
    <row r="7" spans="1:52" s="8" customFormat="1" ht="31.5">
      <c r="A7" s="186" t="s">
        <v>870</v>
      </c>
      <c r="B7" s="198" t="s">
        <v>869</v>
      </c>
      <c r="C7" s="1069" t="s">
        <v>868</v>
      </c>
      <c r="D7" s="169"/>
      <c r="E7" s="169"/>
      <c r="F7" s="169"/>
      <c r="G7" s="169"/>
      <c r="H7" s="169"/>
      <c r="I7" s="169"/>
      <c r="J7" s="169"/>
      <c r="K7" s="169"/>
      <c r="L7" s="98"/>
      <c r="M7" s="98"/>
      <c r="N7" s="98"/>
      <c r="O7" s="98"/>
      <c r="P7" s="168"/>
      <c r="Q7" s="168"/>
      <c r="R7" s="168"/>
      <c r="S7" s="168"/>
      <c r="T7" s="272"/>
      <c r="U7" s="272"/>
      <c r="V7" s="168"/>
      <c r="W7" s="168"/>
      <c r="X7" s="168"/>
      <c r="Y7" s="168"/>
      <c r="Z7" s="168"/>
      <c r="AA7" s="168"/>
      <c r="AB7" s="195"/>
      <c r="AC7" s="195"/>
      <c r="AD7" s="195"/>
      <c r="AE7" s="195"/>
      <c r="AF7" s="168"/>
      <c r="AG7" s="150"/>
      <c r="AH7" s="150"/>
      <c r="AI7" s="105"/>
      <c r="AJ7" s="145"/>
      <c r="AK7" s="145"/>
      <c r="AL7" s="145"/>
      <c r="AM7" s="112"/>
      <c r="AN7" s="168" t="s">
        <v>610</v>
      </c>
      <c r="AO7" s="168" t="s">
        <v>610</v>
      </c>
      <c r="AP7" s="176">
        <v>72</v>
      </c>
      <c r="AQ7" s="68">
        <v>6.41</v>
      </c>
      <c r="AR7" s="141"/>
      <c r="AS7" s="141"/>
      <c r="AT7" s="141"/>
      <c r="AU7" s="141"/>
      <c r="AV7" s="150" t="s">
        <v>12</v>
      </c>
      <c r="AW7" s="43" t="s">
        <v>861</v>
      </c>
      <c r="AX7" s="150"/>
      <c r="AY7" s="150"/>
      <c r="AZ7" s="161"/>
    </row>
    <row r="8" spans="1:52" s="8" customFormat="1" ht="45">
      <c r="A8" s="186" t="s">
        <v>867</v>
      </c>
      <c r="B8" s="198" t="s">
        <v>866</v>
      </c>
      <c r="C8" s="1071"/>
      <c r="D8" s="141"/>
      <c r="E8" s="141"/>
      <c r="F8" s="141"/>
      <c r="G8" s="141"/>
      <c r="H8" s="141"/>
      <c r="I8" s="141"/>
      <c r="J8" s="141"/>
      <c r="K8" s="141"/>
      <c r="L8" s="98" t="s">
        <v>927</v>
      </c>
      <c r="M8" s="98"/>
      <c r="N8" s="98">
        <v>8</v>
      </c>
      <c r="O8" s="98">
        <v>1.42</v>
      </c>
      <c r="P8" s="168"/>
      <c r="Q8" s="168"/>
      <c r="R8" s="168"/>
      <c r="S8" s="168"/>
      <c r="T8" s="272"/>
      <c r="U8" s="272"/>
      <c r="V8" s="168"/>
      <c r="W8" s="168"/>
      <c r="X8" s="168"/>
      <c r="Y8" s="168"/>
      <c r="Z8" s="168"/>
      <c r="AA8" s="168"/>
      <c r="AB8" s="195"/>
      <c r="AC8" s="195"/>
      <c r="AD8" s="195"/>
      <c r="AE8" s="195"/>
      <c r="AF8" s="168"/>
      <c r="AG8" s="150"/>
      <c r="AH8" s="150"/>
      <c r="AI8" s="105"/>
      <c r="AJ8" s="145"/>
      <c r="AK8" s="145"/>
      <c r="AL8" s="145"/>
      <c r="AM8" s="112"/>
      <c r="AN8" s="168" t="s">
        <v>610</v>
      </c>
      <c r="AO8" s="168" t="s">
        <v>610</v>
      </c>
      <c r="AP8" s="68">
        <v>72</v>
      </c>
      <c r="AQ8" s="68">
        <v>3.58</v>
      </c>
      <c r="AR8" s="141"/>
      <c r="AS8" s="141"/>
      <c r="AT8" s="141"/>
      <c r="AU8" s="141"/>
      <c r="AV8" s="150" t="s">
        <v>12</v>
      </c>
      <c r="AW8" s="43" t="s">
        <v>861</v>
      </c>
      <c r="AX8" s="150"/>
      <c r="AY8" s="150"/>
      <c r="AZ8" s="161"/>
    </row>
    <row r="9" spans="1:52" s="8" customFormat="1" ht="30">
      <c r="A9" s="294" t="s">
        <v>196</v>
      </c>
      <c r="B9" s="156" t="s">
        <v>66</v>
      </c>
      <c r="C9" s="1031" t="s">
        <v>22</v>
      </c>
      <c r="D9" s="101"/>
      <c r="E9" s="101"/>
      <c r="F9" s="101"/>
      <c r="G9" s="101"/>
      <c r="H9" s="101">
        <v>160</v>
      </c>
      <c r="I9" s="101">
        <v>120</v>
      </c>
      <c r="J9" s="101">
        <v>160</v>
      </c>
      <c r="K9" s="139">
        <v>28.4</v>
      </c>
      <c r="L9" s="98">
        <v>12</v>
      </c>
      <c r="M9" s="98">
        <v>0</v>
      </c>
      <c r="N9" s="98">
        <v>8</v>
      </c>
      <c r="O9" s="98">
        <v>1.42</v>
      </c>
      <c r="P9" s="150"/>
      <c r="Q9" s="150"/>
      <c r="R9" s="150"/>
      <c r="S9" s="150"/>
      <c r="T9" s="150"/>
      <c r="U9" s="150"/>
      <c r="V9" s="150"/>
      <c r="W9" s="150"/>
      <c r="X9" s="112">
        <v>18</v>
      </c>
      <c r="Y9" s="195">
        <v>15</v>
      </c>
      <c r="Z9" s="195">
        <v>24</v>
      </c>
      <c r="AA9" s="195">
        <v>8.44</v>
      </c>
      <c r="AB9" s="195">
        <f>14*2</f>
        <v>28</v>
      </c>
      <c r="AC9" s="195">
        <v>14</v>
      </c>
      <c r="AD9" s="195">
        <f>AG9*AH9</f>
        <v>3150</v>
      </c>
      <c r="AE9" s="195">
        <v>18.44</v>
      </c>
      <c r="AF9" s="168">
        <v>38</v>
      </c>
      <c r="AG9" s="168">
        <v>35</v>
      </c>
      <c r="AH9" s="168">
        <v>90</v>
      </c>
      <c r="AI9" s="168">
        <v>16.53</v>
      </c>
      <c r="AJ9" s="145">
        <v>45</v>
      </c>
      <c r="AK9" s="145">
        <v>0</v>
      </c>
      <c r="AL9" s="145">
        <v>21</v>
      </c>
      <c r="AM9" s="112">
        <v>3.85</v>
      </c>
      <c r="AN9" s="168" t="s">
        <v>610</v>
      </c>
      <c r="AO9" s="168" t="s">
        <v>610</v>
      </c>
      <c r="AP9" s="150">
        <v>60</v>
      </c>
      <c r="AQ9" s="150">
        <v>48.59</v>
      </c>
      <c r="AR9" s="286">
        <v>6</v>
      </c>
      <c r="AS9" s="286">
        <v>0</v>
      </c>
      <c r="AT9" s="286">
        <v>6</v>
      </c>
      <c r="AU9" s="287">
        <v>1.35</v>
      </c>
      <c r="AV9" s="150" t="s">
        <v>98</v>
      </c>
      <c r="AW9" s="286">
        <v>3</v>
      </c>
      <c r="AX9" s="150" t="s">
        <v>67</v>
      </c>
      <c r="AY9" s="150" t="s">
        <v>306</v>
      </c>
      <c r="AZ9" s="161" t="s">
        <v>102</v>
      </c>
    </row>
    <row r="10" spans="1:52" s="8" customFormat="1" ht="30">
      <c r="A10" s="295" t="s">
        <v>199</v>
      </c>
      <c r="B10" s="35" t="s">
        <v>68</v>
      </c>
      <c r="C10" s="1032"/>
      <c r="D10" s="101"/>
      <c r="E10" s="101"/>
      <c r="F10" s="101"/>
      <c r="G10" s="101"/>
      <c r="H10" s="101">
        <v>48</v>
      </c>
      <c r="I10" s="101">
        <v>24</v>
      </c>
      <c r="J10" s="101">
        <v>24</v>
      </c>
      <c r="K10" s="101">
        <v>1.64</v>
      </c>
      <c r="L10" s="98"/>
      <c r="M10" s="98"/>
      <c r="N10" s="98"/>
      <c r="O10" s="98"/>
      <c r="P10" s="33">
        <v>8</v>
      </c>
      <c r="Q10" s="33"/>
      <c r="R10" s="33">
        <v>40</v>
      </c>
      <c r="S10" s="33">
        <v>3.26</v>
      </c>
      <c r="T10" s="33"/>
      <c r="U10" s="33"/>
      <c r="V10" s="33"/>
      <c r="W10" s="33"/>
      <c r="X10" s="195">
        <v>20</v>
      </c>
      <c r="Y10" s="195">
        <v>16</v>
      </c>
      <c r="Z10" s="195">
        <v>20</v>
      </c>
      <c r="AA10" s="195">
        <v>1.25</v>
      </c>
      <c r="AB10" s="195">
        <v>100</v>
      </c>
      <c r="AC10" s="195">
        <v>28</v>
      </c>
      <c r="AD10" s="195">
        <f>AG10*AH10</f>
        <v>3200</v>
      </c>
      <c r="AE10" s="195">
        <v>5.53</v>
      </c>
      <c r="AF10" s="33">
        <v>76</v>
      </c>
      <c r="AG10" s="33">
        <v>40</v>
      </c>
      <c r="AH10" s="33">
        <v>80</v>
      </c>
      <c r="AI10" s="33">
        <v>6.51</v>
      </c>
      <c r="AJ10" s="145">
        <v>30</v>
      </c>
      <c r="AK10" s="145">
        <v>0</v>
      </c>
      <c r="AL10" s="145">
        <v>30</v>
      </c>
      <c r="AM10" s="112">
        <v>2.6</v>
      </c>
      <c r="AN10" s="168" t="s">
        <v>610</v>
      </c>
      <c r="AO10" s="168" t="s">
        <v>610</v>
      </c>
      <c r="AP10" s="150">
        <v>186</v>
      </c>
      <c r="AQ10" s="33">
        <v>35.98</v>
      </c>
      <c r="AR10" s="286">
        <v>16</v>
      </c>
      <c r="AS10" s="286">
        <v>0</v>
      </c>
      <c r="AT10" s="286">
        <v>5</v>
      </c>
      <c r="AU10" s="287">
        <v>0.39</v>
      </c>
      <c r="AV10" s="145" t="s">
        <v>69</v>
      </c>
      <c r="AW10" s="286">
        <v>4</v>
      </c>
      <c r="AX10" s="145" t="s">
        <v>70</v>
      </c>
      <c r="AY10" s="150" t="s">
        <v>306</v>
      </c>
      <c r="AZ10" s="116" t="s">
        <v>102</v>
      </c>
    </row>
    <row r="11" spans="1:52" s="8" customFormat="1" ht="15.75">
      <c r="A11" s="295" t="s">
        <v>200</v>
      </c>
      <c r="B11" s="151" t="s">
        <v>80</v>
      </c>
      <c r="C11" s="1032"/>
      <c r="D11" s="112">
        <v>50</v>
      </c>
      <c r="E11" s="112">
        <v>93</v>
      </c>
      <c r="F11" s="112">
        <v>40</v>
      </c>
      <c r="G11" s="112">
        <v>3.21</v>
      </c>
      <c r="H11" s="112"/>
      <c r="I11" s="112"/>
      <c r="J11" s="112"/>
      <c r="K11" s="112"/>
      <c r="L11" s="98"/>
      <c r="M11" s="98"/>
      <c r="N11" s="98"/>
      <c r="O11" s="98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95">
        <v>50</v>
      </c>
      <c r="AC11" s="195">
        <v>0</v>
      </c>
      <c r="AD11" s="195">
        <f>AG11*AH11</f>
        <v>16400</v>
      </c>
      <c r="AE11" s="195">
        <v>121.18</v>
      </c>
      <c r="AF11" s="145">
        <v>660</v>
      </c>
      <c r="AG11" s="145">
        <v>410</v>
      </c>
      <c r="AH11" s="145">
        <v>40</v>
      </c>
      <c r="AI11" s="145">
        <v>3.12</v>
      </c>
      <c r="AJ11" s="145">
        <v>80</v>
      </c>
      <c r="AK11" s="145">
        <v>0</v>
      </c>
      <c r="AL11" s="145">
        <v>340</v>
      </c>
      <c r="AM11" s="112">
        <v>26.86</v>
      </c>
      <c r="AN11" s="112"/>
      <c r="AO11" s="112"/>
      <c r="AP11" s="112"/>
      <c r="AQ11" s="112"/>
      <c r="AR11" s="112"/>
      <c r="AS11" s="112"/>
      <c r="AT11" s="112"/>
      <c r="AU11" s="112"/>
      <c r="AV11" s="145" t="s">
        <v>81</v>
      </c>
      <c r="AW11" s="286">
        <v>10</v>
      </c>
      <c r="AX11" s="145" t="s">
        <v>78</v>
      </c>
      <c r="AY11" s="150" t="s">
        <v>306</v>
      </c>
      <c r="AZ11" s="116" t="s">
        <v>103</v>
      </c>
    </row>
    <row r="12" spans="1:52" s="8" customFormat="1" ht="47.25">
      <c r="A12" s="186" t="s">
        <v>899</v>
      </c>
      <c r="B12" s="151" t="s">
        <v>958</v>
      </c>
      <c r="C12" s="1032"/>
      <c r="D12" s="33">
        <v>0</v>
      </c>
      <c r="E12" s="33">
        <v>0</v>
      </c>
      <c r="F12" s="33">
        <v>24</v>
      </c>
      <c r="G12" s="33">
        <v>0.75</v>
      </c>
      <c r="H12" s="101">
        <v>625</v>
      </c>
      <c r="I12" s="145">
        <v>225</v>
      </c>
      <c r="J12" s="101">
        <v>250</v>
      </c>
      <c r="K12" s="139">
        <v>7.5</v>
      </c>
      <c r="L12" s="98"/>
      <c r="M12" s="98"/>
      <c r="N12" s="98"/>
      <c r="O12" s="98"/>
      <c r="P12" s="145" t="s">
        <v>575</v>
      </c>
      <c r="Q12" s="145">
        <v>9</v>
      </c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>
        <v>180</v>
      </c>
      <c r="AG12" s="145">
        <v>160</v>
      </c>
      <c r="AH12" s="145"/>
      <c r="AI12" s="145"/>
      <c r="AJ12" s="145"/>
      <c r="AK12" s="145"/>
      <c r="AL12" s="145"/>
      <c r="AM12" s="112"/>
      <c r="AN12" s="112"/>
      <c r="AO12" s="112"/>
      <c r="AP12" s="112"/>
      <c r="AQ12" s="112"/>
      <c r="AR12" s="288">
        <v>0</v>
      </c>
      <c r="AS12" s="288">
        <v>2</v>
      </c>
      <c r="AT12" s="289" t="s">
        <v>610</v>
      </c>
      <c r="AU12" s="290">
        <v>1</v>
      </c>
      <c r="AV12" s="145" t="s">
        <v>12</v>
      </c>
      <c r="AW12" s="286"/>
      <c r="AX12" s="145" t="s">
        <v>297</v>
      </c>
      <c r="AY12" s="150" t="s">
        <v>306</v>
      </c>
      <c r="AZ12" s="116"/>
    </row>
    <row r="13" spans="1:52" s="8" customFormat="1" ht="15.75">
      <c r="A13" s="295" t="s">
        <v>198</v>
      </c>
      <c r="B13" s="151" t="s">
        <v>197</v>
      </c>
      <c r="C13" s="1032"/>
      <c r="D13" s="149"/>
      <c r="E13" s="149"/>
      <c r="F13" s="149"/>
      <c r="G13" s="149"/>
      <c r="H13" s="149"/>
      <c r="I13" s="149"/>
      <c r="J13" s="149"/>
      <c r="K13" s="149"/>
      <c r="L13" s="98"/>
      <c r="M13" s="98"/>
      <c r="N13" s="98"/>
      <c r="O13" s="98"/>
      <c r="P13" s="145"/>
      <c r="Q13" s="145"/>
      <c r="R13" s="145"/>
      <c r="S13" s="145"/>
      <c r="T13" s="98">
        <v>20</v>
      </c>
      <c r="U13" s="100">
        <v>0</v>
      </c>
      <c r="V13" s="100">
        <v>20</v>
      </c>
      <c r="W13" s="100">
        <v>1.25</v>
      </c>
      <c r="X13" s="100"/>
      <c r="Y13" s="100"/>
      <c r="Z13" s="100"/>
      <c r="AA13" s="100"/>
      <c r="AB13" s="100"/>
      <c r="AC13" s="100"/>
      <c r="AD13" s="100"/>
      <c r="AE13" s="100"/>
      <c r="AF13" s="145"/>
      <c r="AG13" s="145"/>
      <c r="AH13" s="145">
        <v>8</v>
      </c>
      <c r="AI13" s="145">
        <v>0.65</v>
      </c>
      <c r="AJ13" s="145"/>
      <c r="AK13" s="145"/>
      <c r="AL13" s="145"/>
      <c r="AM13" s="112"/>
      <c r="AN13" s="112"/>
      <c r="AO13" s="112"/>
      <c r="AP13" s="112"/>
      <c r="AQ13" s="112"/>
      <c r="AR13" s="112"/>
      <c r="AS13" s="112"/>
      <c r="AT13" s="112"/>
      <c r="AU13" s="112"/>
      <c r="AV13" s="145" t="s">
        <v>71</v>
      </c>
      <c r="AW13" s="286">
        <v>4</v>
      </c>
      <c r="AX13" s="145" t="s">
        <v>72</v>
      </c>
      <c r="AY13" s="150" t="s">
        <v>306</v>
      </c>
      <c r="AZ13" s="116" t="s">
        <v>109</v>
      </c>
    </row>
    <row r="14" spans="1:52" s="8" customFormat="1" ht="15.75">
      <c r="A14" s="296" t="s">
        <v>199</v>
      </c>
      <c r="B14" s="273" t="s">
        <v>649</v>
      </c>
      <c r="C14" s="1033"/>
      <c r="D14" s="33">
        <v>10</v>
      </c>
      <c r="E14" s="33">
        <v>0</v>
      </c>
      <c r="F14" s="33">
        <v>30</v>
      </c>
      <c r="G14" s="33">
        <v>2.62</v>
      </c>
      <c r="H14" s="33"/>
      <c r="I14" s="33"/>
      <c r="J14" s="33"/>
      <c r="K14" s="33"/>
      <c r="L14" s="98">
        <v>16</v>
      </c>
      <c r="M14" s="98">
        <v>0</v>
      </c>
      <c r="N14" s="98">
        <v>30</v>
      </c>
      <c r="O14" s="98">
        <v>1.31</v>
      </c>
      <c r="P14" s="145"/>
      <c r="Q14" s="145"/>
      <c r="R14" s="145"/>
      <c r="S14" s="145"/>
      <c r="T14" s="98">
        <v>130</v>
      </c>
      <c r="U14" s="100">
        <v>10</v>
      </c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145"/>
      <c r="AG14" s="145"/>
      <c r="AH14" s="145"/>
      <c r="AI14" s="145"/>
      <c r="AJ14" s="145"/>
      <c r="AK14" s="145"/>
      <c r="AL14" s="145"/>
      <c r="AM14" s="112"/>
      <c r="AN14" s="112"/>
      <c r="AO14" s="112"/>
      <c r="AP14" s="112"/>
      <c r="AQ14" s="112"/>
      <c r="AR14" s="112"/>
      <c r="AS14" s="112"/>
      <c r="AT14" s="112"/>
      <c r="AU14" s="112"/>
      <c r="AV14" s="145" t="s">
        <v>73</v>
      </c>
      <c r="AW14" s="42" t="s">
        <v>651</v>
      </c>
      <c r="AX14" s="145" t="s">
        <v>72</v>
      </c>
      <c r="AY14" s="145" t="s">
        <v>306</v>
      </c>
      <c r="AZ14" s="116" t="s">
        <v>650</v>
      </c>
    </row>
    <row r="15" spans="1:52" s="1" customFormat="1" ht="15.75">
      <c r="A15" s="280"/>
      <c r="B15" s="1241" t="s">
        <v>30</v>
      </c>
      <c r="C15" s="1241"/>
      <c r="D15" s="274">
        <f>SUM(D6:D14)</f>
        <v>80</v>
      </c>
      <c r="E15" s="274">
        <f aca="true" t="shared" si="0" ref="E15:AU15">SUM(E6:E14)</f>
        <v>95</v>
      </c>
      <c r="F15" s="274">
        <f t="shared" si="0"/>
        <v>103</v>
      </c>
      <c r="G15" s="274">
        <f t="shared" si="0"/>
        <v>8.280000000000001</v>
      </c>
      <c r="H15" s="274">
        <f t="shared" si="0"/>
        <v>835</v>
      </c>
      <c r="I15" s="274">
        <f t="shared" si="0"/>
        <v>369</v>
      </c>
      <c r="J15" s="274">
        <f t="shared" si="0"/>
        <v>442</v>
      </c>
      <c r="K15" s="274">
        <f t="shared" si="0"/>
        <v>38.89</v>
      </c>
      <c r="L15" s="274">
        <f t="shared" si="0"/>
        <v>48</v>
      </c>
      <c r="M15" s="274">
        <f t="shared" si="0"/>
        <v>0</v>
      </c>
      <c r="N15" s="274">
        <f t="shared" si="0"/>
        <v>62</v>
      </c>
      <c r="O15" s="274">
        <f t="shared" si="0"/>
        <v>7</v>
      </c>
      <c r="P15" s="274">
        <f t="shared" si="0"/>
        <v>24</v>
      </c>
      <c r="Q15" s="274">
        <f t="shared" si="0"/>
        <v>39</v>
      </c>
      <c r="R15" s="274">
        <f t="shared" si="0"/>
        <v>64</v>
      </c>
      <c r="S15" s="274">
        <f t="shared" si="0"/>
        <v>7.529999999999999</v>
      </c>
      <c r="T15" s="274">
        <f t="shared" si="0"/>
        <v>210</v>
      </c>
      <c r="U15" s="274">
        <f t="shared" si="0"/>
        <v>10</v>
      </c>
      <c r="V15" s="274">
        <f t="shared" si="0"/>
        <v>80</v>
      </c>
      <c r="W15" s="274">
        <f t="shared" si="0"/>
        <v>11.71</v>
      </c>
      <c r="X15" s="274">
        <f t="shared" si="0"/>
        <v>38</v>
      </c>
      <c r="Y15" s="274">
        <f t="shared" si="0"/>
        <v>31</v>
      </c>
      <c r="Z15" s="274">
        <f t="shared" si="0"/>
        <v>44</v>
      </c>
      <c r="AA15" s="274">
        <f t="shared" si="0"/>
        <v>9.69</v>
      </c>
      <c r="AB15" s="274">
        <f t="shared" si="0"/>
        <v>238</v>
      </c>
      <c r="AC15" s="274">
        <f t="shared" si="0"/>
        <v>92</v>
      </c>
      <c r="AD15" s="274">
        <f t="shared" si="0"/>
        <v>22750</v>
      </c>
      <c r="AE15" s="274">
        <f t="shared" si="0"/>
        <v>148.22</v>
      </c>
      <c r="AF15" s="274">
        <f t="shared" si="0"/>
        <v>954</v>
      </c>
      <c r="AG15" s="274">
        <f t="shared" si="0"/>
        <v>645</v>
      </c>
      <c r="AH15" s="274">
        <f t="shared" si="0"/>
        <v>317</v>
      </c>
      <c r="AI15" s="274">
        <f t="shared" si="0"/>
        <v>45.809999999999995</v>
      </c>
      <c r="AJ15" s="274">
        <f t="shared" si="0"/>
        <v>221</v>
      </c>
      <c r="AK15" s="274">
        <f t="shared" si="0"/>
        <v>0</v>
      </c>
      <c r="AL15" s="274">
        <f t="shared" si="0"/>
        <v>421</v>
      </c>
      <c r="AM15" s="274">
        <f t="shared" si="0"/>
        <v>38.81</v>
      </c>
      <c r="AN15" s="274">
        <f t="shared" si="0"/>
        <v>0</v>
      </c>
      <c r="AO15" s="274">
        <f t="shared" si="0"/>
        <v>0</v>
      </c>
      <c r="AP15" s="274">
        <f t="shared" si="0"/>
        <v>606</v>
      </c>
      <c r="AQ15" s="274">
        <f t="shared" si="0"/>
        <v>163.69</v>
      </c>
      <c r="AR15" s="274">
        <f t="shared" si="0"/>
        <v>28</v>
      </c>
      <c r="AS15" s="274">
        <f t="shared" si="0"/>
        <v>2</v>
      </c>
      <c r="AT15" s="274">
        <f t="shared" si="0"/>
        <v>14</v>
      </c>
      <c r="AU15" s="274">
        <f t="shared" si="0"/>
        <v>3.3400000000000003</v>
      </c>
      <c r="AV15" s="281"/>
      <c r="AW15" s="281"/>
      <c r="AX15" s="281"/>
      <c r="AY15" s="281"/>
      <c r="AZ15" s="282"/>
    </row>
    <row r="16" spans="1:52" s="8" customFormat="1" ht="30" customHeight="1">
      <c r="A16" s="202" t="s">
        <v>705</v>
      </c>
      <c r="B16" s="151" t="s">
        <v>80</v>
      </c>
      <c r="C16" s="145" t="s">
        <v>675</v>
      </c>
      <c r="D16" s="145"/>
      <c r="E16" s="145"/>
      <c r="F16" s="145"/>
      <c r="G16" s="145"/>
      <c r="H16" s="145"/>
      <c r="I16" s="145"/>
      <c r="J16" s="145"/>
      <c r="K16" s="145"/>
      <c r="L16" s="98">
        <v>150</v>
      </c>
      <c r="M16" s="98">
        <v>5</v>
      </c>
      <c r="N16" s="1242" t="s">
        <v>927</v>
      </c>
      <c r="O16" s="1242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95">
        <v>70</v>
      </c>
      <c r="AC16" s="195">
        <v>58</v>
      </c>
      <c r="AD16" s="195">
        <v>0</v>
      </c>
      <c r="AE16" s="195">
        <v>0</v>
      </c>
      <c r="AF16" s="145"/>
      <c r="AG16" s="145"/>
      <c r="AH16" s="145"/>
      <c r="AI16" s="30"/>
      <c r="AJ16" s="145">
        <v>30</v>
      </c>
      <c r="AK16" s="145">
        <v>0</v>
      </c>
      <c r="AL16" s="145">
        <v>30</v>
      </c>
      <c r="AM16" s="112">
        <v>3</v>
      </c>
      <c r="AN16" s="112"/>
      <c r="AO16" s="112"/>
      <c r="AP16" s="112"/>
      <c r="AQ16" s="112"/>
      <c r="AR16" s="112"/>
      <c r="AS16" s="112"/>
      <c r="AT16" s="112"/>
      <c r="AU16" s="112"/>
      <c r="AV16" s="112" t="s">
        <v>333</v>
      </c>
      <c r="AW16" s="286">
        <v>10</v>
      </c>
      <c r="AX16" s="145" t="s">
        <v>276</v>
      </c>
      <c r="AY16" s="145" t="s">
        <v>306</v>
      </c>
      <c r="AZ16" s="116" t="s">
        <v>306</v>
      </c>
    </row>
    <row r="17" spans="1:52" s="8" customFormat="1" ht="18" customHeight="1">
      <c r="A17" s="202" t="s">
        <v>200</v>
      </c>
      <c r="B17" s="181" t="s">
        <v>80</v>
      </c>
      <c r="C17" s="195" t="s">
        <v>923</v>
      </c>
      <c r="D17" s="145"/>
      <c r="E17" s="145"/>
      <c r="F17" s="145"/>
      <c r="G17" s="145"/>
      <c r="H17" s="145"/>
      <c r="I17" s="145"/>
      <c r="J17" s="145"/>
      <c r="K17" s="145"/>
      <c r="L17" s="98">
        <v>240</v>
      </c>
      <c r="M17" s="98">
        <v>22</v>
      </c>
      <c r="N17" s="1242" t="s">
        <v>927</v>
      </c>
      <c r="O17" s="1242"/>
      <c r="P17" s="145"/>
      <c r="Q17" s="145"/>
      <c r="R17" s="145"/>
      <c r="S17" s="145"/>
      <c r="T17" s="145"/>
      <c r="U17" s="145"/>
      <c r="V17" s="145"/>
      <c r="W17" s="145"/>
      <c r="X17" s="195">
        <v>500</v>
      </c>
      <c r="Y17" s="195">
        <v>501</v>
      </c>
      <c r="Z17" s="195">
        <v>300</v>
      </c>
      <c r="AA17" s="195">
        <v>95</v>
      </c>
      <c r="AB17" s="195"/>
      <c r="AC17" s="195"/>
      <c r="AD17" s="195"/>
      <c r="AE17" s="195"/>
      <c r="AF17" s="145"/>
      <c r="AG17" s="145"/>
      <c r="AH17" s="145"/>
      <c r="AI17" s="30"/>
      <c r="AJ17" s="145"/>
      <c r="AK17" s="145"/>
      <c r="AL17" s="145"/>
      <c r="AM17" s="112"/>
      <c r="AN17" s="112"/>
      <c r="AO17" s="112"/>
      <c r="AP17" s="112"/>
      <c r="AQ17" s="112"/>
      <c r="AR17" s="112"/>
      <c r="AS17" s="112"/>
      <c r="AT17" s="112"/>
      <c r="AU17" s="112"/>
      <c r="AV17" s="195" t="s">
        <v>71</v>
      </c>
      <c r="AW17" s="195">
        <v>10</v>
      </c>
      <c r="AX17" s="112" t="s">
        <v>924</v>
      </c>
      <c r="AY17" s="195" t="s">
        <v>306</v>
      </c>
      <c r="AZ17" s="265" t="s">
        <v>306</v>
      </c>
    </row>
    <row r="18" spans="1:52" s="8" customFormat="1" ht="15.75">
      <c r="A18" s="202" t="s">
        <v>206</v>
      </c>
      <c r="B18" s="151" t="s">
        <v>80</v>
      </c>
      <c r="C18" s="145" t="s">
        <v>205</v>
      </c>
      <c r="D18" s="33">
        <v>50</v>
      </c>
      <c r="E18" s="33">
        <v>0</v>
      </c>
      <c r="F18" s="33">
        <v>40</v>
      </c>
      <c r="G18" s="33">
        <v>3.21</v>
      </c>
      <c r="H18" s="101">
        <v>300</v>
      </c>
      <c r="I18" s="101">
        <v>60</v>
      </c>
      <c r="J18" s="101">
        <v>180</v>
      </c>
      <c r="K18" s="101">
        <v>13.28</v>
      </c>
      <c r="L18" s="98">
        <v>100</v>
      </c>
      <c r="M18" s="98">
        <v>0</v>
      </c>
      <c r="N18" s="145">
        <v>30</v>
      </c>
      <c r="O18" s="145">
        <v>1.57</v>
      </c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95">
        <v>50</v>
      </c>
      <c r="AC18" s="195">
        <v>0</v>
      </c>
      <c r="AD18" s="195">
        <v>0</v>
      </c>
      <c r="AE18" s="291">
        <v>0</v>
      </c>
      <c r="AF18" s="145"/>
      <c r="AG18" s="145"/>
      <c r="AH18" s="145">
        <v>160</v>
      </c>
      <c r="AI18" s="30">
        <v>9.8</v>
      </c>
      <c r="AJ18" s="145" t="s">
        <v>610</v>
      </c>
      <c r="AK18" s="145" t="s">
        <v>610</v>
      </c>
      <c r="AL18" s="145">
        <v>340</v>
      </c>
      <c r="AM18" s="112">
        <v>26.86</v>
      </c>
      <c r="AN18" s="33">
        <v>50</v>
      </c>
      <c r="AO18" s="33" t="s">
        <v>610</v>
      </c>
      <c r="AP18" s="33">
        <v>500</v>
      </c>
      <c r="AQ18" s="33">
        <v>70.38</v>
      </c>
      <c r="AR18" s="286">
        <v>25</v>
      </c>
      <c r="AS18" s="286">
        <v>4</v>
      </c>
      <c r="AT18" s="286">
        <v>26</v>
      </c>
      <c r="AU18" s="287">
        <v>2.86</v>
      </c>
      <c r="AV18" s="145" t="s">
        <v>81</v>
      </c>
      <c r="AW18" s="195">
        <v>10</v>
      </c>
      <c r="AX18" s="145" t="s">
        <v>78</v>
      </c>
      <c r="AY18" s="145" t="s">
        <v>306</v>
      </c>
      <c r="AZ18" s="116" t="s">
        <v>103</v>
      </c>
    </row>
    <row r="19" spans="1:52" s="8" customFormat="1" ht="15.75">
      <c r="A19" s="202" t="s">
        <v>207</v>
      </c>
      <c r="B19" s="151" t="s">
        <v>80</v>
      </c>
      <c r="C19" s="145" t="s">
        <v>33</v>
      </c>
      <c r="D19" s="68">
        <v>190</v>
      </c>
      <c r="E19" s="93">
        <v>75</v>
      </c>
      <c r="F19" s="68">
        <v>120</v>
      </c>
      <c r="G19" s="68">
        <v>6.61</v>
      </c>
      <c r="H19" s="68"/>
      <c r="I19" s="68"/>
      <c r="J19" s="68"/>
      <c r="K19" s="68"/>
      <c r="L19" s="98">
        <v>180</v>
      </c>
      <c r="M19" s="98">
        <v>74</v>
      </c>
      <c r="N19" s="145">
        <v>20</v>
      </c>
      <c r="O19" s="145">
        <v>1.05</v>
      </c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95">
        <v>130</v>
      </c>
      <c r="AC19" s="195">
        <v>0</v>
      </c>
      <c r="AD19" s="195">
        <v>0</v>
      </c>
      <c r="AE19" s="291">
        <v>0</v>
      </c>
      <c r="AF19" s="145">
        <v>170</v>
      </c>
      <c r="AG19" s="145">
        <v>170</v>
      </c>
      <c r="AH19" s="145">
        <v>50</v>
      </c>
      <c r="AI19" s="145">
        <v>3.05</v>
      </c>
      <c r="AJ19" s="145">
        <v>120</v>
      </c>
      <c r="AK19" s="145">
        <v>0</v>
      </c>
      <c r="AL19" s="145">
        <v>340</v>
      </c>
      <c r="AM19" s="112">
        <v>26.86</v>
      </c>
      <c r="AN19" s="112"/>
      <c r="AO19" s="112"/>
      <c r="AP19" s="112"/>
      <c r="AQ19" s="112"/>
      <c r="AR19" s="286">
        <v>25</v>
      </c>
      <c r="AS19" s="286">
        <v>9</v>
      </c>
      <c r="AT19" s="286">
        <v>39</v>
      </c>
      <c r="AU19" s="287">
        <v>3.9</v>
      </c>
      <c r="AV19" s="145" t="s">
        <v>81</v>
      </c>
      <c r="AW19" s="195">
        <v>10</v>
      </c>
      <c r="AX19" s="145" t="s">
        <v>78</v>
      </c>
      <c r="AY19" s="145" t="s">
        <v>306</v>
      </c>
      <c r="AZ19" s="116" t="s">
        <v>103</v>
      </c>
    </row>
    <row r="20" spans="1:52" s="8" customFormat="1" ht="60">
      <c r="A20" s="202" t="s">
        <v>204</v>
      </c>
      <c r="B20" s="151" t="s">
        <v>76</v>
      </c>
      <c r="C20" s="145" t="s">
        <v>39</v>
      </c>
      <c r="D20" s="33">
        <v>200</v>
      </c>
      <c r="E20" s="33">
        <v>832</v>
      </c>
      <c r="F20" s="33">
        <v>570</v>
      </c>
      <c r="G20" s="33">
        <v>31.41</v>
      </c>
      <c r="H20" s="101">
        <v>1200</v>
      </c>
      <c r="I20" s="145">
        <v>1135</v>
      </c>
      <c r="J20" s="101">
        <v>8000</v>
      </c>
      <c r="K20" s="101">
        <v>245.98</v>
      </c>
      <c r="L20" s="33">
        <v>180</v>
      </c>
      <c r="M20" s="145">
        <v>568</v>
      </c>
      <c r="N20" s="145">
        <v>50</v>
      </c>
      <c r="O20" s="145">
        <v>2.61</v>
      </c>
      <c r="P20" s="33">
        <v>18</v>
      </c>
      <c r="Q20" s="33" t="s">
        <v>575</v>
      </c>
      <c r="R20" s="33">
        <v>18</v>
      </c>
      <c r="S20" s="33" t="s">
        <v>579</v>
      </c>
      <c r="T20" s="283">
        <v>528</v>
      </c>
      <c r="U20" s="271">
        <v>0</v>
      </c>
      <c r="V20" s="93">
        <v>528</v>
      </c>
      <c r="W20" s="93">
        <v>29.83</v>
      </c>
      <c r="X20" s="93"/>
      <c r="Y20" s="93"/>
      <c r="Z20" s="93"/>
      <c r="AA20" s="93"/>
      <c r="AB20" s="195">
        <v>200</v>
      </c>
      <c r="AC20" s="195">
        <v>0</v>
      </c>
      <c r="AD20" s="195">
        <v>0</v>
      </c>
      <c r="AE20" s="291">
        <v>0</v>
      </c>
      <c r="AF20" s="145">
        <v>1600</v>
      </c>
      <c r="AG20" s="145">
        <v>1050</v>
      </c>
      <c r="AH20" s="33">
        <v>800</v>
      </c>
      <c r="AI20" s="40">
        <v>39.2</v>
      </c>
      <c r="AJ20" s="145">
        <v>260</v>
      </c>
      <c r="AK20" s="145">
        <v>0</v>
      </c>
      <c r="AL20" s="145">
        <v>340</v>
      </c>
      <c r="AM20" s="112">
        <v>26.86</v>
      </c>
      <c r="AN20" s="112"/>
      <c r="AO20" s="112"/>
      <c r="AP20" s="112"/>
      <c r="AQ20" s="112"/>
      <c r="AR20" s="286">
        <v>50</v>
      </c>
      <c r="AS20" s="286">
        <v>10</v>
      </c>
      <c r="AT20" s="286">
        <v>39</v>
      </c>
      <c r="AU20" s="287">
        <v>3.9</v>
      </c>
      <c r="AV20" s="145" t="s">
        <v>73</v>
      </c>
      <c r="AW20" s="195">
        <v>10</v>
      </c>
      <c r="AX20" s="42" t="s">
        <v>77</v>
      </c>
      <c r="AY20" s="145" t="s">
        <v>306</v>
      </c>
      <c r="AZ20" s="116" t="s">
        <v>103</v>
      </c>
    </row>
    <row r="21" spans="1:52" s="8" customFormat="1" ht="15.75">
      <c r="A21" s="202" t="s">
        <v>706</v>
      </c>
      <c r="B21" s="151" t="s">
        <v>79</v>
      </c>
      <c r="C21" s="145" t="s">
        <v>675</v>
      </c>
      <c r="D21" s="33">
        <v>20</v>
      </c>
      <c r="E21" s="33">
        <v>0</v>
      </c>
      <c r="F21" s="33">
        <v>24</v>
      </c>
      <c r="G21" s="33">
        <v>1.57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283"/>
      <c r="U21" s="271"/>
      <c r="V21" s="93"/>
      <c r="W21" s="93"/>
      <c r="X21" s="93"/>
      <c r="Y21" s="93"/>
      <c r="Z21" s="93"/>
      <c r="AA21" s="93"/>
      <c r="AB21" s="195">
        <v>70</v>
      </c>
      <c r="AC21" s="195">
        <v>24</v>
      </c>
      <c r="AD21" s="195">
        <v>0</v>
      </c>
      <c r="AE21" s="195">
        <v>0</v>
      </c>
      <c r="AF21" s="145"/>
      <c r="AG21" s="145"/>
      <c r="AH21" s="33"/>
      <c r="AI21" s="40"/>
      <c r="AJ21" s="145"/>
      <c r="AK21" s="145"/>
      <c r="AL21" s="145"/>
      <c r="AM21" s="112"/>
      <c r="AN21" s="112"/>
      <c r="AO21" s="112"/>
      <c r="AP21" s="112"/>
      <c r="AQ21" s="112"/>
      <c r="AR21" s="286">
        <v>0</v>
      </c>
      <c r="AS21" s="286">
        <v>0</v>
      </c>
      <c r="AT21" s="286">
        <v>8</v>
      </c>
      <c r="AU21" s="287">
        <v>0.62</v>
      </c>
      <c r="AV21" s="112" t="s">
        <v>333</v>
      </c>
      <c r="AW21" s="195">
        <v>10</v>
      </c>
      <c r="AX21" s="145" t="s">
        <v>276</v>
      </c>
      <c r="AY21" s="145" t="s">
        <v>306</v>
      </c>
      <c r="AZ21" s="116" t="s">
        <v>306</v>
      </c>
    </row>
    <row r="22" spans="1:52" s="8" customFormat="1" ht="15.75">
      <c r="A22" s="202" t="s">
        <v>201</v>
      </c>
      <c r="B22" s="151" t="s">
        <v>79</v>
      </c>
      <c r="C22" s="145" t="s">
        <v>50</v>
      </c>
      <c r="D22" s="33">
        <v>152</v>
      </c>
      <c r="E22" s="33">
        <v>100</v>
      </c>
      <c r="F22" s="33">
        <v>880</v>
      </c>
      <c r="G22" s="33">
        <v>17.78</v>
      </c>
      <c r="H22" s="33"/>
      <c r="I22" s="33"/>
      <c r="J22" s="33"/>
      <c r="K22" s="33"/>
      <c r="L22" s="33">
        <v>150</v>
      </c>
      <c r="M22" s="33">
        <v>12</v>
      </c>
      <c r="N22" s="33">
        <v>50</v>
      </c>
      <c r="O22" s="33">
        <v>2.61</v>
      </c>
      <c r="P22" s="145"/>
      <c r="Q22" s="145"/>
      <c r="R22" s="145"/>
      <c r="S22" s="145"/>
      <c r="T22" s="283">
        <v>220</v>
      </c>
      <c r="U22" s="271">
        <v>0</v>
      </c>
      <c r="V22" s="145"/>
      <c r="W22" s="145"/>
      <c r="X22" s="112">
        <v>288</v>
      </c>
      <c r="Y22" s="195">
        <v>119</v>
      </c>
      <c r="Z22" s="195">
        <v>120</v>
      </c>
      <c r="AA22" s="195">
        <v>2.1</v>
      </c>
      <c r="AB22" s="195">
        <v>0</v>
      </c>
      <c r="AC22" s="195">
        <v>906</v>
      </c>
      <c r="AD22" s="195">
        <v>650</v>
      </c>
      <c r="AE22" s="291">
        <v>25.5</v>
      </c>
      <c r="AF22" s="33"/>
      <c r="AG22" s="33"/>
      <c r="AH22" s="145">
        <v>860</v>
      </c>
      <c r="AI22" s="30">
        <v>34.4</v>
      </c>
      <c r="AJ22" s="145"/>
      <c r="AK22" s="145"/>
      <c r="AL22" s="145"/>
      <c r="AM22" s="112"/>
      <c r="AN22" s="33">
        <v>50</v>
      </c>
      <c r="AO22" s="33" t="s">
        <v>610</v>
      </c>
      <c r="AP22" s="33">
        <v>500</v>
      </c>
      <c r="AQ22" s="33">
        <v>43.52</v>
      </c>
      <c r="AR22" s="286">
        <v>17</v>
      </c>
      <c r="AS22" s="286">
        <v>0</v>
      </c>
      <c r="AT22" s="286">
        <v>15</v>
      </c>
      <c r="AU22" s="287">
        <v>1.15</v>
      </c>
      <c r="AV22" s="145" t="s">
        <v>12</v>
      </c>
      <c r="AW22" s="195">
        <v>10</v>
      </c>
      <c r="AX22" s="42" t="s">
        <v>202</v>
      </c>
      <c r="AY22" s="145" t="s">
        <v>306</v>
      </c>
      <c r="AZ22" s="116" t="s">
        <v>327</v>
      </c>
    </row>
    <row r="23" spans="1:52" s="8" customFormat="1" ht="15.75">
      <c r="A23" s="202" t="s">
        <v>707</v>
      </c>
      <c r="B23" s="151" t="s">
        <v>79</v>
      </c>
      <c r="C23" s="145" t="s">
        <v>708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283"/>
      <c r="U23" s="271"/>
      <c r="V23" s="145"/>
      <c r="W23" s="145"/>
      <c r="X23" s="145"/>
      <c r="Y23" s="145"/>
      <c r="Z23" s="145"/>
      <c r="AA23" s="145"/>
      <c r="AB23" s="195">
        <f>50*10</f>
        <v>500</v>
      </c>
      <c r="AC23" s="195">
        <v>0</v>
      </c>
      <c r="AD23" s="195">
        <v>140</v>
      </c>
      <c r="AE23" s="291">
        <v>7</v>
      </c>
      <c r="AF23" s="33"/>
      <c r="AG23" s="33"/>
      <c r="AH23" s="145"/>
      <c r="AI23" s="30"/>
      <c r="AJ23" s="145"/>
      <c r="AK23" s="145"/>
      <c r="AL23" s="145"/>
      <c r="AM23" s="112"/>
      <c r="AN23" s="112"/>
      <c r="AO23" s="112"/>
      <c r="AP23" s="112"/>
      <c r="AQ23" s="112"/>
      <c r="AR23" s="112"/>
      <c r="AS23" s="112"/>
      <c r="AT23" s="112"/>
      <c r="AU23" s="112"/>
      <c r="AV23" s="145" t="s">
        <v>333</v>
      </c>
      <c r="AW23" s="195">
        <v>10</v>
      </c>
      <c r="AX23" s="112" t="s">
        <v>982</v>
      </c>
      <c r="AY23" s="145" t="s">
        <v>306</v>
      </c>
      <c r="AZ23" s="116" t="s">
        <v>306</v>
      </c>
    </row>
    <row r="24" spans="1:52" s="8" customFormat="1" ht="15.75">
      <c r="A24" s="202" t="s">
        <v>576</v>
      </c>
      <c r="B24" s="151" t="s">
        <v>79</v>
      </c>
      <c r="C24" s="145" t="s">
        <v>577</v>
      </c>
      <c r="D24" s="145"/>
      <c r="E24" s="145"/>
      <c r="F24" s="145"/>
      <c r="G24" s="145"/>
      <c r="H24" s="101">
        <v>250</v>
      </c>
      <c r="I24" s="145">
        <v>180</v>
      </c>
      <c r="J24" s="101">
        <v>400</v>
      </c>
      <c r="K24" s="139">
        <v>28</v>
      </c>
      <c r="L24" s="145">
        <v>450</v>
      </c>
      <c r="M24" s="145">
        <v>175</v>
      </c>
      <c r="N24" s="145">
        <v>50</v>
      </c>
      <c r="O24" s="145">
        <v>2.61</v>
      </c>
      <c r="P24" s="33"/>
      <c r="Q24" s="33"/>
      <c r="R24" s="33">
        <v>380</v>
      </c>
      <c r="S24" s="33">
        <v>11.4</v>
      </c>
      <c r="T24" s="33"/>
      <c r="U24" s="33"/>
      <c r="V24" s="33"/>
      <c r="W24" s="33"/>
      <c r="X24" s="33"/>
      <c r="Y24" s="33"/>
      <c r="Z24" s="33"/>
      <c r="AA24" s="33"/>
      <c r="AB24" s="195">
        <v>1000</v>
      </c>
      <c r="AC24" s="195">
        <v>0</v>
      </c>
      <c r="AD24" s="195">
        <v>0</v>
      </c>
      <c r="AE24" s="291">
        <v>0</v>
      </c>
      <c r="AF24" s="145">
        <v>700</v>
      </c>
      <c r="AG24" s="145">
        <v>480</v>
      </c>
      <c r="AH24" s="145"/>
      <c r="AI24" s="30"/>
      <c r="AJ24" s="145">
        <v>26</v>
      </c>
      <c r="AK24" s="145">
        <v>0</v>
      </c>
      <c r="AL24" s="145">
        <v>340</v>
      </c>
      <c r="AM24" s="112">
        <v>18.19</v>
      </c>
      <c r="AN24" s="112"/>
      <c r="AO24" s="112"/>
      <c r="AP24" s="112"/>
      <c r="AQ24" s="112"/>
      <c r="AR24" s="286">
        <v>47</v>
      </c>
      <c r="AS24" s="286">
        <v>0</v>
      </c>
      <c r="AT24" s="286">
        <v>20</v>
      </c>
      <c r="AU24" s="287">
        <v>1.25</v>
      </c>
      <c r="AV24" s="145" t="s">
        <v>71</v>
      </c>
      <c r="AW24" s="195">
        <v>10</v>
      </c>
      <c r="AX24" s="112" t="s">
        <v>982</v>
      </c>
      <c r="AY24" s="145" t="s">
        <v>306</v>
      </c>
      <c r="AZ24" s="116" t="s">
        <v>104</v>
      </c>
    </row>
    <row r="25" spans="1:52" s="8" customFormat="1" ht="45">
      <c r="A25" s="202" t="s">
        <v>709</v>
      </c>
      <c r="B25" s="152" t="s">
        <v>710</v>
      </c>
      <c r="C25" s="284" t="s">
        <v>711</v>
      </c>
      <c r="D25" s="33">
        <v>1020</v>
      </c>
      <c r="E25" s="33">
        <v>0</v>
      </c>
      <c r="F25" s="33" t="s">
        <v>575</v>
      </c>
      <c r="G25" s="33">
        <v>188.03</v>
      </c>
      <c r="H25" s="101">
        <v>432</v>
      </c>
      <c r="I25" s="145">
        <v>96</v>
      </c>
      <c r="J25" s="101">
        <f>18*12</f>
        <v>216</v>
      </c>
      <c r="K25" s="139">
        <v>1.89</v>
      </c>
      <c r="L25" s="145" t="s">
        <v>927</v>
      </c>
      <c r="M25" s="145"/>
      <c r="N25" s="145">
        <v>40</v>
      </c>
      <c r="O25" s="145">
        <v>2.61</v>
      </c>
      <c r="P25" s="33"/>
      <c r="Q25" s="33"/>
      <c r="R25" s="33"/>
      <c r="S25" s="33"/>
      <c r="T25" s="33"/>
      <c r="U25" s="33"/>
      <c r="V25" s="33"/>
      <c r="W25" s="33"/>
      <c r="X25" s="195">
        <v>480</v>
      </c>
      <c r="Y25" s="195">
        <v>323</v>
      </c>
      <c r="Z25" s="33"/>
      <c r="AA25" s="33"/>
      <c r="AB25" s="112">
        <v>96</v>
      </c>
      <c r="AC25" s="112">
        <v>0</v>
      </c>
      <c r="AD25" s="195">
        <v>0</v>
      </c>
      <c r="AE25" s="291">
        <v>0</v>
      </c>
      <c r="AF25" s="145"/>
      <c r="AG25" s="145"/>
      <c r="AH25" s="145"/>
      <c r="AI25" s="30"/>
      <c r="AJ25" s="145"/>
      <c r="AK25" s="145"/>
      <c r="AL25" s="145"/>
      <c r="AM25" s="112"/>
      <c r="AN25" s="33" t="s">
        <v>610</v>
      </c>
      <c r="AO25" s="33" t="s">
        <v>610</v>
      </c>
      <c r="AP25" s="33">
        <v>2500</v>
      </c>
      <c r="AQ25" s="33">
        <v>707.04</v>
      </c>
      <c r="AR25" s="33"/>
      <c r="AS25" s="33"/>
      <c r="AT25" s="33"/>
      <c r="AU25" s="33"/>
      <c r="AV25" s="145" t="s">
        <v>15</v>
      </c>
      <c r="AW25" s="110"/>
      <c r="AX25" s="112" t="s">
        <v>982</v>
      </c>
      <c r="AY25" s="145" t="s">
        <v>306</v>
      </c>
      <c r="AZ25" s="116" t="s">
        <v>306</v>
      </c>
    </row>
    <row r="26" spans="1:52" s="8" customFormat="1" ht="47.25">
      <c r="A26" s="186" t="s">
        <v>872</v>
      </c>
      <c r="B26" s="151" t="s">
        <v>914</v>
      </c>
      <c r="C26" s="33" t="s">
        <v>871</v>
      </c>
      <c r="D26" s="33"/>
      <c r="E26" s="33"/>
      <c r="F26" s="33"/>
      <c r="G26" s="33"/>
      <c r="H26" s="101">
        <v>36</v>
      </c>
      <c r="I26" s="145">
        <v>24</v>
      </c>
      <c r="J26" s="101">
        <v>76</v>
      </c>
      <c r="K26" s="101">
        <v>5.4</v>
      </c>
      <c r="L26" s="145" t="s">
        <v>927</v>
      </c>
      <c r="M26" s="145"/>
      <c r="N26" s="145"/>
      <c r="O26" s="145">
        <v>164</v>
      </c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112"/>
      <c r="AC26" s="112"/>
      <c r="AD26" s="195"/>
      <c r="AE26" s="291"/>
      <c r="AF26" s="145"/>
      <c r="AG26" s="145"/>
      <c r="AH26" s="145"/>
      <c r="AI26" s="30"/>
      <c r="AJ26" s="145"/>
      <c r="AK26" s="145"/>
      <c r="AL26" s="145"/>
      <c r="AM26" s="112"/>
      <c r="AN26" s="33">
        <v>2</v>
      </c>
      <c r="AO26" s="33" t="s">
        <v>610</v>
      </c>
      <c r="AP26" s="33">
        <v>16</v>
      </c>
      <c r="AQ26" s="33">
        <v>24.92</v>
      </c>
      <c r="AR26" s="33"/>
      <c r="AS26" s="33"/>
      <c r="AT26" s="33"/>
      <c r="AU26" s="33"/>
      <c r="AV26" s="145" t="s">
        <v>71</v>
      </c>
      <c r="AW26" s="42" t="s">
        <v>873</v>
      </c>
      <c r="AX26" s="42" t="s">
        <v>983</v>
      </c>
      <c r="AY26" s="145" t="s">
        <v>491</v>
      </c>
      <c r="AZ26" s="116" t="s">
        <v>491</v>
      </c>
    </row>
    <row r="27" spans="1:52" s="8" customFormat="1" ht="31.5">
      <c r="A27" s="295"/>
      <c r="B27" s="152" t="s">
        <v>194</v>
      </c>
      <c r="C27" s="145" t="s">
        <v>153</v>
      </c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>
        <v>16</v>
      </c>
      <c r="AG27" s="145">
        <v>16</v>
      </c>
      <c r="AH27" s="145"/>
      <c r="AI27" s="145"/>
      <c r="AJ27" s="145"/>
      <c r="AK27" s="145"/>
      <c r="AL27" s="145"/>
      <c r="AM27" s="112"/>
      <c r="AN27" s="112"/>
      <c r="AO27" s="112"/>
      <c r="AP27" s="112"/>
      <c r="AQ27" s="112"/>
      <c r="AR27" s="112"/>
      <c r="AS27" s="112"/>
      <c r="AT27" s="112"/>
      <c r="AU27" s="112"/>
      <c r="AV27" s="145" t="s">
        <v>15</v>
      </c>
      <c r="AW27" s="145">
        <v>32</v>
      </c>
      <c r="AX27" s="145" t="s">
        <v>13</v>
      </c>
      <c r="AY27" s="145"/>
      <c r="AZ27" s="116" t="s">
        <v>110</v>
      </c>
    </row>
    <row r="28" spans="1:52" s="8" customFormat="1" ht="31.5">
      <c r="A28" s="202" t="s">
        <v>203</v>
      </c>
      <c r="B28" s="152" t="s">
        <v>208</v>
      </c>
      <c r="C28" s="145" t="s">
        <v>75</v>
      </c>
      <c r="D28" s="33">
        <v>38</v>
      </c>
      <c r="E28" s="33">
        <v>0</v>
      </c>
      <c r="F28" s="33">
        <v>38</v>
      </c>
      <c r="G28" s="33">
        <v>2.28</v>
      </c>
      <c r="H28" s="101">
        <v>120</v>
      </c>
      <c r="I28" s="145">
        <v>40</v>
      </c>
      <c r="J28" s="101">
        <v>120</v>
      </c>
      <c r="K28" s="139">
        <v>3.6</v>
      </c>
      <c r="L28" s="145">
        <v>80</v>
      </c>
      <c r="M28" s="145">
        <v>0</v>
      </c>
      <c r="N28" s="145">
        <v>30</v>
      </c>
      <c r="O28" s="145">
        <v>1.2</v>
      </c>
      <c r="P28" s="145"/>
      <c r="Q28" s="145"/>
      <c r="R28" s="145">
        <v>15</v>
      </c>
      <c r="S28" s="145">
        <v>0.26</v>
      </c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>
        <v>35</v>
      </c>
      <c r="AI28" s="145">
        <v>2.52</v>
      </c>
      <c r="AJ28" s="145">
        <v>40</v>
      </c>
      <c r="AK28" s="145">
        <v>0</v>
      </c>
      <c r="AL28" s="145">
        <v>40</v>
      </c>
      <c r="AM28" s="112">
        <v>1.6</v>
      </c>
      <c r="AN28" s="33">
        <v>148</v>
      </c>
      <c r="AO28" s="145">
        <v>138</v>
      </c>
      <c r="AP28" s="33">
        <v>270</v>
      </c>
      <c r="AQ28" s="33">
        <v>20.24</v>
      </c>
      <c r="AR28" s="288">
        <v>0</v>
      </c>
      <c r="AS28" s="288">
        <v>0</v>
      </c>
      <c r="AT28" s="289" t="s">
        <v>610</v>
      </c>
      <c r="AU28" s="290">
        <v>2.81</v>
      </c>
      <c r="AV28" s="145" t="s">
        <v>87</v>
      </c>
      <c r="AW28" s="41" t="s">
        <v>865</v>
      </c>
      <c r="AX28" s="145" t="s">
        <v>13</v>
      </c>
      <c r="AY28" s="145" t="s">
        <v>306</v>
      </c>
      <c r="AZ28" s="116" t="s">
        <v>328</v>
      </c>
    </row>
    <row r="29" spans="1:52" s="8" customFormat="1" ht="63.75" thickBot="1">
      <c r="A29" s="297" t="s">
        <v>793</v>
      </c>
      <c r="B29" s="158" t="s">
        <v>794</v>
      </c>
      <c r="C29" s="275" t="s">
        <v>795</v>
      </c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126" t="s">
        <v>938</v>
      </c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126" t="s">
        <v>610</v>
      </c>
      <c r="AK29" s="126" t="s">
        <v>610</v>
      </c>
      <c r="AL29" s="126" t="s">
        <v>796</v>
      </c>
      <c r="AM29" s="276">
        <v>3.5</v>
      </c>
      <c r="AN29" s="285" t="s">
        <v>610</v>
      </c>
      <c r="AO29" s="285" t="s">
        <v>610</v>
      </c>
      <c r="AP29" s="285">
        <v>1540</v>
      </c>
      <c r="AQ29" s="285">
        <v>20</v>
      </c>
      <c r="AR29" s="285"/>
      <c r="AS29" s="285"/>
      <c r="AT29" s="285"/>
      <c r="AU29" s="285"/>
      <c r="AV29" s="126"/>
      <c r="AW29" s="277"/>
      <c r="AX29" s="126" t="s">
        <v>575</v>
      </c>
      <c r="AY29" s="126" t="s">
        <v>610</v>
      </c>
      <c r="AZ29" s="268" t="s">
        <v>610</v>
      </c>
    </row>
    <row r="30" spans="1:52" ht="16.5" thickBot="1">
      <c r="A30" s="122"/>
      <c r="B30" s="1036" t="s">
        <v>14</v>
      </c>
      <c r="C30" s="1036"/>
      <c r="D30" s="270">
        <f>SUM(D16:D29)</f>
        <v>1670</v>
      </c>
      <c r="E30" s="270">
        <f aca="true" t="shared" si="1" ref="E30:AU30">SUM(E16:E29)</f>
        <v>1007</v>
      </c>
      <c r="F30" s="270">
        <f t="shared" si="1"/>
        <v>1672</v>
      </c>
      <c r="G30" s="270">
        <f t="shared" si="1"/>
        <v>250.89000000000001</v>
      </c>
      <c r="H30" s="270">
        <f t="shared" si="1"/>
        <v>2338</v>
      </c>
      <c r="I30" s="270">
        <f t="shared" si="1"/>
        <v>1535</v>
      </c>
      <c r="J30" s="270">
        <f t="shared" si="1"/>
        <v>8992</v>
      </c>
      <c r="K30" s="270">
        <f t="shared" si="1"/>
        <v>298.15</v>
      </c>
      <c r="L30" s="270">
        <f t="shared" si="1"/>
        <v>1530</v>
      </c>
      <c r="M30" s="270">
        <f t="shared" si="1"/>
        <v>856</v>
      </c>
      <c r="N30" s="270">
        <f t="shared" si="1"/>
        <v>270</v>
      </c>
      <c r="O30" s="270">
        <f t="shared" si="1"/>
        <v>178.26</v>
      </c>
      <c r="P30" s="270">
        <f t="shared" si="1"/>
        <v>18</v>
      </c>
      <c r="Q30" s="270">
        <f t="shared" si="1"/>
        <v>0</v>
      </c>
      <c r="R30" s="270">
        <f t="shared" si="1"/>
        <v>413</v>
      </c>
      <c r="S30" s="270">
        <f t="shared" si="1"/>
        <v>11.66</v>
      </c>
      <c r="T30" s="270">
        <f t="shared" si="1"/>
        <v>748</v>
      </c>
      <c r="U30" s="270">
        <f t="shared" si="1"/>
        <v>0</v>
      </c>
      <c r="V30" s="270">
        <f t="shared" si="1"/>
        <v>528</v>
      </c>
      <c r="W30" s="270">
        <f t="shared" si="1"/>
        <v>29.83</v>
      </c>
      <c r="X30" s="270">
        <f t="shared" si="1"/>
        <v>1268</v>
      </c>
      <c r="Y30" s="270">
        <f t="shared" si="1"/>
        <v>943</v>
      </c>
      <c r="Z30" s="270">
        <f t="shared" si="1"/>
        <v>420</v>
      </c>
      <c r="AA30" s="270">
        <f t="shared" si="1"/>
        <v>97.1</v>
      </c>
      <c r="AB30" s="270">
        <f t="shared" si="1"/>
        <v>2116</v>
      </c>
      <c r="AC30" s="270">
        <f t="shared" si="1"/>
        <v>988</v>
      </c>
      <c r="AD30" s="270">
        <f t="shared" si="1"/>
        <v>790</v>
      </c>
      <c r="AE30" s="270">
        <f t="shared" si="1"/>
        <v>32.5</v>
      </c>
      <c r="AF30" s="270">
        <f t="shared" si="1"/>
        <v>2486</v>
      </c>
      <c r="AG30" s="270">
        <f t="shared" si="1"/>
        <v>1716</v>
      </c>
      <c r="AH30" s="270">
        <f t="shared" si="1"/>
        <v>1905</v>
      </c>
      <c r="AI30" s="270">
        <f t="shared" si="1"/>
        <v>88.97</v>
      </c>
      <c r="AJ30" s="270">
        <f t="shared" si="1"/>
        <v>476</v>
      </c>
      <c r="AK30" s="270">
        <f t="shared" si="1"/>
        <v>0</v>
      </c>
      <c r="AL30" s="270">
        <f t="shared" si="1"/>
        <v>1430</v>
      </c>
      <c r="AM30" s="270">
        <f t="shared" si="1"/>
        <v>106.86999999999999</v>
      </c>
      <c r="AN30" s="270">
        <f t="shared" si="1"/>
        <v>250</v>
      </c>
      <c r="AO30" s="270">
        <f t="shared" si="1"/>
        <v>138</v>
      </c>
      <c r="AP30" s="270">
        <f t="shared" si="1"/>
        <v>5326</v>
      </c>
      <c r="AQ30" s="270">
        <f t="shared" si="1"/>
        <v>886.0999999999999</v>
      </c>
      <c r="AR30" s="270">
        <f t="shared" si="1"/>
        <v>164</v>
      </c>
      <c r="AS30" s="270">
        <f t="shared" si="1"/>
        <v>23</v>
      </c>
      <c r="AT30" s="270">
        <f t="shared" si="1"/>
        <v>147</v>
      </c>
      <c r="AU30" s="270">
        <f t="shared" si="1"/>
        <v>16.49</v>
      </c>
      <c r="AV30" s="278"/>
      <c r="AW30" s="278"/>
      <c r="AX30" s="278"/>
      <c r="AY30" s="278"/>
      <c r="AZ30" s="279"/>
    </row>
    <row r="31" spans="1:52" ht="16.5" thickBot="1">
      <c r="A31" s="292"/>
      <c r="B31" s="1240" t="s">
        <v>17</v>
      </c>
      <c r="C31" s="1240"/>
      <c r="D31" s="162">
        <f>SUM(D15,D30)</f>
        <v>1750</v>
      </c>
      <c r="E31" s="162">
        <f aca="true" t="shared" si="2" ref="E31:AU31">SUM(E15,E30)</f>
        <v>1102</v>
      </c>
      <c r="F31" s="162">
        <f t="shared" si="2"/>
        <v>1775</v>
      </c>
      <c r="G31" s="162">
        <f t="shared" si="2"/>
        <v>259.17</v>
      </c>
      <c r="H31" s="162">
        <f t="shared" si="2"/>
        <v>3173</v>
      </c>
      <c r="I31" s="162">
        <f t="shared" si="2"/>
        <v>1904</v>
      </c>
      <c r="J31" s="162">
        <f t="shared" si="2"/>
        <v>9434</v>
      </c>
      <c r="K31" s="162">
        <f t="shared" si="2"/>
        <v>337.03999999999996</v>
      </c>
      <c r="L31" s="162">
        <f t="shared" si="2"/>
        <v>1578</v>
      </c>
      <c r="M31" s="162">
        <f t="shared" si="2"/>
        <v>856</v>
      </c>
      <c r="N31" s="162">
        <f t="shared" si="2"/>
        <v>332</v>
      </c>
      <c r="O31" s="162">
        <f t="shared" si="2"/>
        <v>185.26</v>
      </c>
      <c r="P31" s="162">
        <f t="shared" si="2"/>
        <v>42</v>
      </c>
      <c r="Q31" s="162">
        <f t="shared" si="2"/>
        <v>39</v>
      </c>
      <c r="R31" s="162">
        <f t="shared" si="2"/>
        <v>477</v>
      </c>
      <c r="S31" s="162">
        <f t="shared" si="2"/>
        <v>19.189999999999998</v>
      </c>
      <c r="T31" s="162">
        <f t="shared" si="2"/>
        <v>958</v>
      </c>
      <c r="U31" s="162">
        <f t="shared" si="2"/>
        <v>10</v>
      </c>
      <c r="V31" s="162">
        <f t="shared" si="2"/>
        <v>608</v>
      </c>
      <c r="W31" s="162">
        <f t="shared" si="2"/>
        <v>41.54</v>
      </c>
      <c r="X31" s="162">
        <f t="shared" si="2"/>
        <v>1306</v>
      </c>
      <c r="Y31" s="162">
        <f t="shared" si="2"/>
        <v>974</v>
      </c>
      <c r="Z31" s="162">
        <f t="shared" si="2"/>
        <v>464</v>
      </c>
      <c r="AA31" s="162">
        <f t="shared" si="2"/>
        <v>106.78999999999999</v>
      </c>
      <c r="AB31" s="162">
        <f t="shared" si="2"/>
        <v>2354</v>
      </c>
      <c r="AC31" s="162">
        <f t="shared" si="2"/>
        <v>1080</v>
      </c>
      <c r="AD31" s="162">
        <f t="shared" si="2"/>
        <v>23540</v>
      </c>
      <c r="AE31" s="162">
        <f t="shared" si="2"/>
        <v>180.72</v>
      </c>
      <c r="AF31" s="162">
        <f t="shared" si="2"/>
        <v>3440</v>
      </c>
      <c r="AG31" s="162">
        <f t="shared" si="2"/>
        <v>2361</v>
      </c>
      <c r="AH31" s="162">
        <f t="shared" si="2"/>
        <v>2222</v>
      </c>
      <c r="AI31" s="162">
        <f t="shared" si="2"/>
        <v>134.78</v>
      </c>
      <c r="AJ31" s="162">
        <f t="shared" si="2"/>
        <v>697</v>
      </c>
      <c r="AK31" s="162">
        <f t="shared" si="2"/>
        <v>0</v>
      </c>
      <c r="AL31" s="162">
        <f t="shared" si="2"/>
        <v>1851</v>
      </c>
      <c r="AM31" s="162">
        <f t="shared" si="2"/>
        <v>145.68</v>
      </c>
      <c r="AN31" s="162">
        <f t="shared" si="2"/>
        <v>250</v>
      </c>
      <c r="AO31" s="162">
        <f t="shared" si="2"/>
        <v>138</v>
      </c>
      <c r="AP31" s="162">
        <f t="shared" si="2"/>
        <v>5932</v>
      </c>
      <c r="AQ31" s="162">
        <f t="shared" si="2"/>
        <v>1049.79</v>
      </c>
      <c r="AR31" s="162">
        <f t="shared" si="2"/>
        <v>192</v>
      </c>
      <c r="AS31" s="162">
        <f t="shared" si="2"/>
        <v>25</v>
      </c>
      <c r="AT31" s="162">
        <f t="shared" si="2"/>
        <v>161</v>
      </c>
      <c r="AU31" s="162">
        <f t="shared" si="2"/>
        <v>19.83</v>
      </c>
      <c r="AV31" s="38"/>
      <c r="AW31" s="38"/>
      <c r="AX31" s="38"/>
      <c r="AY31" s="37"/>
      <c r="AZ31" s="39"/>
    </row>
    <row r="32" spans="2:47" ht="15.75">
      <c r="B32" s="19"/>
      <c r="AH32" s="8"/>
      <c r="AI32" s="8"/>
      <c r="AJ32" s="8"/>
      <c r="AK32" s="8"/>
      <c r="AL32" s="8"/>
      <c r="AM32" s="113"/>
      <c r="AN32" s="113"/>
      <c r="AO32" s="113"/>
      <c r="AP32" s="113"/>
      <c r="AQ32" s="113"/>
      <c r="AR32" s="113"/>
      <c r="AS32" s="113"/>
      <c r="AT32" s="113"/>
      <c r="AU32" s="113"/>
    </row>
    <row r="33" spans="34:47" ht="15.75">
      <c r="AH33" s="8"/>
      <c r="AI33" s="8"/>
      <c r="AJ33" s="8"/>
      <c r="AK33" s="8"/>
      <c r="AL33" s="8"/>
      <c r="AM33" s="113"/>
      <c r="AN33" s="113"/>
      <c r="AO33" s="113"/>
      <c r="AP33" s="113"/>
      <c r="AQ33" s="113"/>
      <c r="AR33" s="113"/>
      <c r="AS33" s="113"/>
      <c r="AT33" s="113"/>
      <c r="AU33" s="113"/>
    </row>
    <row r="34" spans="34:47" ht="15.75">
      <c r="AH34" s="8"/>
      <c r="AI34" s="8"/>
      <c r="AJ34" s="8"/>
      <c r="AK34" s="8"/>
      <c r="AL34" s="8"/>
      <c r="AM34" s="113"/>
      <c r="AN34" s="113"/>
      <c r="AO34" s="113"/>
      <c r="AP34" s="113"/>
      <c r="AQ34" s="113"/>
      <c r="AR34" s="113"/>
      <c r="AS34" s="113"/>
      <c r="AT34" s="113"/>
      <c r="AU34" s="113"/>
    </row>
    <row r="35" spans="34:47" ht="15.75">
      <c r="AH35" s="8"/>
      <c r="AI35" s="8"/>
      <c r="AJ35" s="8"/>
      <c r="AK35" s="8"/>
      <c r="AL35" s="8"/>
      <c r="AM35" s="113"/>
      <c r="AN35" s="113"/>
      <c r="AO35" s="113"/>
      <c r="AP35" s="113"/>
      <c r="AQ35" s="113"/>
      <c r="AR35" s="113"/>
      <c r="AS35" s="113"/>
      <c r="AT35" s="113"/>
      <c r="AU35" s="113"/>
    </row>
    <row r="36" spans="34:47" ht="15.75">
      <c r="AH36" s="8"/>
      <c r="AI36" s="8"/>
      <c r="AJ36" s="8"/>
      <c r="AK36" s="8"/>
      <c r="AL36" s="8"/>
      <c r="AM36" s="113"/>
      <c r="AN36" s="113"/>
      <c r="AO36" s="113"/>
      <c r="AP36" s="113"/>
      <c r="AQ36" s="113"/>
      <c r="AR36" s="113"/>
      <c r="AS36" s="113"/>
      <c r="AT36" s="113"/>
      <c r="AU36" s="113"/>
    </row>
    <row r="37" spans="34:47" ht="15.75">
      <c r="AH37" s="8"/>
      <c r="AI37" s="8"/>
      <c r="AJ37" s="8"/>
      <c r="AK37" s="8"/>
      <c r="AL37" s="8"/>
      <c r="AM37" s="113"/>
      <c r="AN37" s="113"/>
      <c r="AO37" s="113"/>
      <c r="AP37" s="113"/>
      <c r="AQ37" s="113"/>
      <c r="AR37" s="113"/>
      <c r="AS37" s="113"/>
      <c r="AT37" s="113"/>
      <c r="AU37" s="113"/>
    </row>
    <row r="38" spans="34:47" ht="15.75">
      <c r="AH38" s="8"/>
      <c r="AI38" s="8"/>
      <c r="AJ38" s="8"/>
      <c r="AK38" s="8"/>
      <c r="AL38" s="8"/>
      <c r="AM38" s="113"/>
      <c r="AN38" s="113"/>
      <c r="AO38" s="113"/>
      <c r="AP38" s="113"/>
      <c r="AQ38" s="113"/>
      <c r="AR38" s="113"/>
      <c r="AS38" s="113"/>
      <c r="AT38" s="113"/>
      <c r="AU38" s="113"/>
    </row>
    <row r="39" spans="34:47" ht="15.75">
      <c r="AH39" s="8"/>
      <c r="AI39" s="8"/>
      <c r="AJ39" s="8"/>
      <c r="AK39" s="8"/>
      <c r="AL39" s="8"/>
      <c r="AM39" s="113"/>
      <c r="AN39" s="113"/>
      <c r="AO39" s="113"/>
      <c r="AP39" s="113"/>
      <c r="AQ39" s="113"/>
      <c r="AR39" s="113"/>
      <c r="AS39" s="113"/>
      <c r="AT39" s="113"/>
      <c r="AU39" s="113"/>
    </row>
    <row r="40" spans="34:47" ht="15.75">
      <c r="AH40" s="8"/>
      <c r="AI40" s="8"/>
      <c r="AJ40" s="8"/>
      <c r="AK40" s="8"/>
      <c r="AL40" s="8"/>
      <c r="AM40" s="113"/>
      <c r="AN40" s="113"/>
      <c r="AO40" s="113"/>
      <c r="AP40" s="113"/>
      <c r="AQ40" s="113"/>
      <c r="AR40" s="113"/>
      <c r="AS40" s="113"/>
      <c r="AT40" s="113"/>
      <c r="AU40" s="113"/>
    </row>
    <row r="41" spans="34:47" ht="15.75">
      <c r="AH41" s="8"/>
      <c r="AI41" s="8"/>
      <c r="AJ41" s="8"/>
      <c r="AK41" s="8"/>
      <c r="AL41" s="8"/>
      <c r="AM41" s="113"/>
      <c r="AN41" s="113"/>
      <c r="AO41" s="113"/>
      <c r="AP41" s="113"/>
      <c r="AQ41" s="113"/>
      <c r="AR41" s="113"/>
      <c r="AS41" s="113"/>
      <c r="AT41" s="113"/>
      <c r="AU41" s="113"/>
    </row>
    <row r="42" spans="34:47" ht="15.75">
      <c r="AH42" s="8"/>
      <c r="AI42" s="8"/>
      <c r="AJ42" s="8"/>
      <c r="AK42" s="8"/>
      <c r="AL42" s="8"/>
      <c r="AM42" s="113"/>
      <c r="AN42" s="113"/>
      <c r="AO42" s="113"/>
      <c r="AP42" s="113"/>
      <c r="AQ42" s="113"/>
      <c r="AR42" s="113"/>
      <c r="AS42" s="113"/>
      <c r="AT42" s="113"/>
      <c r="AU42" s="113"/>
    </row>
  </sheetData>
  <sheetProtection/>
  <mergeCells count="52">
    <mergeCell ref="AR3:AU3"/>
    <mergeCell ref="AR4:AS4"/>
    <mergeCell ref="AT4:AU4"/>
    <mergeCell ref="AJ4:AK4"/>
    <mergeCell ref="AL4:AM4"/>
    <mergeCell ref="AB3:AE3"/>
    <mergeCell ref="B31:C31"/>
    <mergeCell ref="B15:C15"/>
    <mergeCell ref="B4:B5"/>
    <mergeCell ref="C4:C5"/>
    <mergeCell ref="AF4:AG4"/>
    <mergeCell ref="AN3:AQ3"/>
    <mergeCell ref="AN4:AO4"/>
    <mergeCell ref="N17:O17"/>
    <mergeCell ref="N16:O16"/>
    <mergeCell ref="AY4:AY5"/>
    <mergeCell ref="AZ4:AZ5"/>
    <mergeCell ref="AB4:AC4"/>
    <mergeCell ref="AD4:AE4"/>
    <mergeCell ref="C9:C14"/>
    <mergeCell ref="AP4:AQ4"/>
    <mergeCell ref="X4:Y4"/>
    <mergeCell ref="X3:AA3"/>
    <mergeCell ref="Z4:AA4"/>
    <mergeCell ref="A2:AZ2"/>
    <mergeCell ref="AF3:AI3"/>
    <mergeCell ref="P3:S3"/>
    <mergeCell ref="P4:Q4"/>
    <mergeCell ref="R4:S4"/>
    <mergeCell ref="AJ3:AM3"/>
    <mergeCell ref="AW4:AW5"/>
    <mergeCell ref="AX4:AX5"/>
    <mergeCell ref="B30:C30"/>
    <mergeCell ref="V4:W4"/>
    <mergeCell ref="D4:E4"/>
    <mergeCell ref="F4:G4"/>
    <mergeCell ref="AV3:AZ3"/>
    <mergeCell ref="A3:C3"/>
    <mergeCell ref="C7:C8"/>
    <mergeCell ref="AH4:AI4"/>
    <mergeCell ref="AV4:AV5"/>
    <mergeCell ref="T4:U4"/>
    <mergeCell ref="A1:AZ1"/>
    <mergeCell ref="A4:A5"/>
    <mergeCell ref="T3:W3"/>
    <mergeCell ref="D3:G3"/>
    <mergeCell ref="H3:K3"/>
    <mergeCell ref="H4:I4"/>
    <mergeCell ref="J4:K4"/>
    <mergeCell ref="L3:O3"/>
    <mergeCell ref="L4:M4"/>
    <mergeCell ref="N4:O4"/>
  </mergeCells>
  <printOptions/>
  <pageMargins left="0.37" right="0.5" top="0.1" bottom="0.31" header="0.01" footer="7158278.82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2016-02-17T10:32:11Z</dcterms:modified>
  <cp:category/>
  <cp:version/>
  <cp:contentType/>
  <cp:contentStatus/>
</cp:coreProperties>
</file>